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o Ståhlsparre\OneDrive\Skrivbord\"/>
    </mc:Choice>
  </mc:AlternateContent>
  <xr:revisionPtr revIDLastSave="0" documentId="13_ncr:1_{596834BE-E987-4C92-A45C-4B6948D0CD5A}" xr6:coauthVersionLast="47" xr6:coauthVersionMax="47" xr10:uidLastSave="{00000000-0000-0000-0000-000000000000}"/>
  <bookViews>
    <workbookView xWindow="-120" yWindow="-120" windowWidth="38640" windowHeight="21120" firstSheet="2" activeTab="5" xr2:uid="{00000000-000D-0000-FFFF-FFFF00000000}"/>
  </bookViews>
  <sheets>
    <sheet name="Budget" sheetId="1" r:id="rId1"/>
    <sheet name="LUP 2026" sheetId="2" r:id="rId2"/>
    <sheet name="Bokslut 20241231" sheetId="3" r:id="rId3"/>
    <sheet name="Bokslut 20251231" sheetId="4" r:id="rId4"/>
    <sheet name="Moms 2024" sheetId="5" r:id="rId5"/>
    <sheet name="Debiteringslängd" sheetId="6" r:id="rId6"/>
    <sheet name="El &amp; Vatten förbr" sheetId="7" r:id="rId7"/>
    <sheet name="Basuppg" sheetId="8" r:id="rId8"/>
    <sheet name="Återvinning" sheetId="9" r:id="rId9"/>
  </sheets>
  <definedNames>
    <definedName name="_xlnm._FilterDatabase" localSheetId="1" hidden="1">'LUP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2tXBEE2xwWzWkvdXh7x1oHyJCBakCyEl7RSELCODySA="/>
    </ext>
  </extLst>
</workbook>
</file>

<file path=xl/calcChain.xml><?xml version="1.0" encoding="utf-8"?>
<calcChain xmlns="http://schemas.openxmlformats.org/spreadsheetml/2006/main">
  <c r="M23" i="8" l="1"/>
  <c r="N16" i="8"/>
  <c r="N23" i="8" s="1"/>
  <c r="E14" i="8"/>
  <c r="D13" i="8"/>
  <c r="E13" i="8" s="1"/>
  <c r="F15" i="8" s="1"/>
  <c r="B11" i="1" s="1"/>
  <c r="N11" i="8"/>
  <c r="E5" i="8"/>
  <c r="E4" i="8"/>
  <c r="E3" i="8"/>
  <c r="F11" i="8" s="1"/>
  <c r="B12" i="1" s="1"/>
  <c r="D20" i="7"/>
  <c r="E23" i="7" s="1"/>
  <c r="B10" i="1" s="1"/>
  <c r="B20" i="1" s="1"/>
  <c r="G18" i="6"/>
  <c r="F18" i="6"/>
  <c r="K19" i="6" s="1"/>
  <c r="K15" i="6"/>
  <c r="J15" i="6"/>
  <c r="I15" i="6"/>
  <c r="H15" i="6"/>
  <c r="G15" i="6"/>
  <c r="F15" i="6"/>
  <c r="E15" i="6"/>
  <c r="D15" i="6"/>
  <c r="C15" i="6"/>
  <c r="B15" i="6"/>
  <c r="K14" i="6"/>
  <c r="J14" i="6"/>
  <c r="I14" i="6"/>
  <c r="H14" i="6"/>
  <c r="G14" i="6"/>
  <c r="F14" i="6"/>
  <c r="E14" i="6"/>
  <c r="D14" i="6"/>
  <c r="C14" i="6"/>
  <c r="B14" i="6"/>
  <c r="K13" i="6"/>
  <c r="J13" i="6"/>
  <c r="I13" i="6"/>
  <c r="H13" i="6"/>
  <c r="G13" i="6"/>
  <c r="F13" i="6"/>
  <c r="E13" i="6"/>
  <c r="D13" i="6"/>
  <c r="C13" i="6"/>
  <c r="B13" i="6"/>
  <c r="J12" i="6"/>
  <c r="I12" i="6"/>
  <c r="H12" i="6"/>
  <c r="G12" i="6"/>
  <c r="F12" i="6"/>
  <c r="E12" i="6"/>
  <c r="K12" i="6" s="1"/>
  <c r="D12" i="6"/>
  <c r="C12" i="6"/>
  <c r="B12" i="6"/>
  <c r="K11" i="6"/>
  <c r="J11" i="6"/>
  <c r="I11" i="6"/>
  <c r="H11" i="6"/>
  <c r="G11" i="6"/>
  <c r="F11" i="6"/>
  <c r="E11" i="6"/>
  <c r="D11" i="6"/>
  <c r="C11" i="6"/>
  <c r="B11" i="6"/>
  <c r="J10" i="6"/>
  <c r="I10" i="6"/>
  <c r="K10" i="6" s="1"/>
  <c r="H10" i="6"/>
  <c r="G10" i="6"/>
  <c r="F10" i="6"/>
  <c r="E10" i="6"/>
  <c r="D10" i="6"/>
  <c r="C10" i="6"/>
  <c r="B10" i="6"/>
  <c r="J9" i="6"/>
  <c r="I9" i="6"/>
  <c r="H9" i="6"/>
  <c r="G9" i="6"/>
  <c r="F9" i="6"/>
  <c r="E9" i="6"/>
  <c r="D9" i="6"/>
  <c r="C9" i="6"/>
  <c r="K9" i="6" s="1"/>
  <c r="B9" i="6"/>
  <c r="K8" i="6"/>
  <c r="J8" i="6"/>
  <c r="I8" i="6"/>
  <c r="H8" i="6"/>
  <c r="G8" i="6"/>
  <c r="F8" i="6"/>
  <c r="E8" i="6"/>
  <c r="D8" i="6"/>
  <c r="D16" i="6" s="1"/>
  <c r="C8" i="6"/>
  <c r="B8" i="6"/>
  <c r="J7" i="6"/>
  <c r="I7" i="6"/>
  <c r="H7" i="6"/>
  <c r="G7" i="6"/>
  <c r="F7" i="6"/>
  <c r="E7" i="6"/>
  <c r="K7" i="6" s="1"/>
  <c r="D7" i="6"/>
  <c r="C7" i="6"/>
  <c r="B7" i="6"/>
  <c r="J6" i="6"/>
  <c r="I6" i="6"/>
  <c r="H6" i="6"/>
  <c r="G6" i="6"/>
  <c r="F6" i="6"/>
  <c r="E6" i="6"/>
  <c r="D6" i="6"/>
  <c r="C6" i="6"/>
  <c r="K6" i="6" s="1"/>
  <c r="B6" i="6"/>
  <c r="J5" i="6"/>
  <c r="J16" i="6" s="1"/>
  <c r="I5" i="6"/>
  <c r="K5" i="6" s="1"/>
  <c r="H5" i="6"/>
  <c r="G5" i="6"/>
  <c r="F5" i="6"/>
  <c r="E5" i="6"/>
  <c r="D5" i="6"/>
  <c r="C5" i="6"/>
  <c r="B5" i="6"/>
  <c r="J4" i="6"/>
  <c r="I4" i="6"/>
  <c r="I16" i="6" s="1"/>
  <c r="H4" i="6"/>
  <c r="H16" i="6" s="1"/>
  <c r="G4" i="6"/>
  <c r="G16" i="6" s="1"/>
  <c r="F4" i="6"/>
  <c r="F16" i="6" s="1"/>
  <c r="E4" i="6"/>
  <c r="E16" i="6" s="1"/>
  <c r="D4" i="6"/>
  <c r="C4" i="6"/>
  <c r="K4" i="6" s="1"/>
  <c r="B4" i="6"/>
  <c r="B16" i="6" s="1"/>
  <c r="E14" i="5"/>
  <c r="D14" i="5"/>
  <c r="C12" i="5"/>
  <c r="B12" i="5"/>
  <c r="B14" i="5" s="1"/>
  <c r="F11" i="5"/>
  <c r="F10" i="5"/>
  <c r="F9" i="5"/>
  <c r="F12" i="5" s="1"/>
  <c r="E7" i="5"/>
  <c r="C7" i="5"/>
  <c r="F7" i="5" s="1"/>
  <c r="B7" i="5"/>
  <c r="F6" i="5"/>
  <c r="F5" i="5"/>
  <c r="F4" i="5"/>
  <c r="F3" i="5"/>
  <c r="B22" i="4"/>
  <c r="I21" i="4"/>
  <c r="H19" i="4"/>
  <c r="H24" i="4" s="1"/>
  <c r="I16" i="4"/>
  <c r="I15" i="4"/>
  <c r="I12" i="4"/>
  <c r="I19" i="4" s="1"/>
  <c r="I24" i="4" s="1"/>
  <c r="D19" i="4" s="1"/>
  <c r="D22" i="4" s="1"/>
  <c r="I11" i="4"/>
  <c r="D10" i="4"/>
  <c r="B10" i="4"/>
  <c r="E7" i="4"/>
  <c r="I6" i="4"/>
  <c r="H6" i="4"/>
  <c r="D6" i="4"/>
  <c r="C6" i="4"/>
  <c r="D4" i="4"/>
  <c r="G19" i="3"/>
  <c r="G24" i="3" s="1"/>
  <c r="B13" i="3"/>
  <c r="D8" i="3" s="1"/>
  <c r="D13" i="3" s="1"/>
  <c r="G6" i="3"/>
  <c r="E28" i="2"/>
  <c r="E25" i="2"/>
  <c r="F14" i="2"/>
  <c r="F13" i="2"/>
  <c r="F11" i="2"/>
  <c r="F10" i="2"/>
  <c r="F9" i="2"/>
  <c r="F8" i="2"/>
  <c r="F7" i="2"/>
  <c r="F6" i="2"/>
  <c r="F5" i="2"/>
  <c r="F4" i="2"/>
  <c r="D46" i="1"/>
  <c r="C39" i="1"/>
  <c r="C37" i="1"/>
  <c r="B37" i="1"/>
  <c r="D35" i="1"/>
  <c r="C35" i="1"/>
  <c r="H3" i="2" s="1"/>
  <c r="H12" i="2" s="1"/>
  <c r="B35" i="1"/>
  <c r="B39" i="1" s="1"/>
  <c r="D34" i="1"/>
  <c r="D39" i="1" s="1"/>
  <c r="C34" i="1"/>
  <c r="E30" i="1"/>
  <c r="C28" i="1"/>
  <c r="H10" i="2" s="1"/>
  <c r="F18" i="2" s="1"/>
  <c r="B28" i="1"/>
  <c r="J26" i="1"/>
  <c r="D15" i="1"/>
  <c r="D20" i="1" s="1"/>
  <c r="D26" i="1" s="1"/>
  <c r="C15" i="1"/>
  <c r="C14" i="1"/>
  <c r="C8" i="1"/>
  <c r="C7" i="1"/>
  <c r="C20" i="1" s="1"/>
  <c r="C26" i="1" s="1"/>
  <c r="C27" i="1" s="1"/>
  <c r="C30" i="1" s="1"/>
  <c r="O6" i="1"/>
  <c r="P3" i="1" s="1"/>
  <c r="P6" i="1" s="1"/>
  <c r="Q5" i="1"/>
  <c r="P5" i="1"/>
  <c r="D5" i="1"/>
  <c r="D27" i="1" s="1"/>
  <c r="D30" i="1" s="1"/>
  <c r="C5" i="1"/>
  <c r="M4" i="1"/>
  <c r="L4" i="1"/>
  <c r="F16" i="2" l="1"/>
  <c r="F19" i="2" s="1"/>
  <c r="K16" i="6"/>
  <c r="K18" i="6" s="1"/>
  <c r="Q3" i="1"/>
  <c r="C43" i="1"/>
  <c r="A23" i="6"/>
  <c r="C16" i="6"/>
  <c r="C14" i="5"/>
  <c r="Q6" i="1" l="1"/>
  <c r="B43" i="1" s="1"/>
  <c r="K3" i="1"/>
  <c r="N3" i="1" s="1"/>
  <c r="N4" i="1" s="1"/>
  <c r="K4" i="1" s="1"/>
  <c r="C44" i="1"/>
  <c r="C46" i="1" s="1"/>
  <c r="B44" i="1" l="1"/>
  <c r="B46" i="1" s="1"/>
  <c r="K6" i="1"/>
  <c r="B23" i="1"/>
  <c r="B26" i="1" s="1"/>
  <c r="B2" i="1" l="1"/>
  <c r="B5" i="1" s="1"/>
  <c r="B27" i="1" s="1"/>
  <c r="B30" i="1" s="1"/>
  <c r="K1" i="6"/>
  <c r="K2" i="6" s="1"/>
  <c r="M11" i="1"/>
  <c r="J11" i="1" s="1"/>
</calcChain>
</file>

<file path=xl/sharedStrings.xml><?xml version="1.0" encoding="utf-8"?>
<sst xmlns="http://schemas.openxmlformats.org/spreadsheetml/2006/main" count="376" uniqueCount="326">
  <si>
    <t>ÅR</t>
  </si>
  <si>
    <t>Omförhandlas</t>
  </si>
  <si>
    <t>3 mån</t>
  </si>
  <si>
    <t>Debiteringar exkl driftbidrag</t>
  </si>
  <si>
    <t>195 038</t>
  </si>
  <si>
    <t>moms 25%</t>
  </si>
  <si>
    <t>Utg mvs</t>
  </si>
  <si>
    <t>39 008</t>
  </si>
  <si>
    <t>Skuld</t>
  </si>
  <si>
    <t>Ränta på LUP placering</t>
  </si>
  <si>
    <t>räntor</t>
  </si>
  <si>
    <t>156 030</t>
  </si>
  <si>
    <t>amortering</t>
  </si>
  <si>
    <t>år</t>
  </si>
  <si>
    <t>Driftskostnader Kapellet</t>
  </si>
  <si>
    <t>Summa</t>
  </si>
  <si>
    <t>Vinter - snöröjning, halkbekämpning, sopning</t>
  </si>
  <si>
    <t>69 054</t>
  </si>
  <si>
    <t>18 607</t>
  </si>
  <si>
    <t>Sommar - häckklipp, gårdsdagar etc.</t>
  </si>
  <si>
    <t>7 112</t>
  </si>
  <si>
    <t>11 714</t>
  </si>
  <si>
    <t>60 548</t>
  </si>
  <si>
    <t>Fasta utgifter</t>
  </si>
  <si>
    <t>EL</t>
  </si>
  <si>
    <t>8 238</t>
  </si>
  <si>
    <t>8 185</t>
  </si>
  <si>
    <t>13 825</t>
  </si>
  <si>
    <t>Debitering</t>
  </si>
  <si>
    <t>Fastigheter</t>
  </si>
  <si>
    <t>månader</t>
  </si>
  <si>
    <t>Årsbasis</t>
  </si>
  <si>
    <t>Vatten</t>
  </si>
  <si>
    <t>27 028</t>
  </si>
  <si>
    <t>28 186</t>
  </si>
  <si>
    <t>32 315</t>
  </si>
  <si>
    <t>Sophämtning</t>
  </si>
  <si>
    <t>17 320</t>
  </si>
  <si>
    <t>17 050</t>
  </si>
  <si>
    <t>16 377</t>
  </si>
  <si>
    <t>Rörliga utgifter</t>
  </si>
  <si>
    <t>Villaägarna (inkl försäkring)</t>
  </si>
  <si>
    <t>3 600</t>
  </si>
  <si>
    <t>SHB 250630</t>
  </si>
  <si>
    <t>Rörlig</t>
  </si>
  <si>
    <t>1 år</t>
  </si>
  <si>
    <t>2 år</t>
  </si>
  <si>
    <t>Rep &amp; UH</t>
  </si>
  <si>
    <t>14 277</t>
  </si>
  <si>
    <t>35 488</t>
  </si>
  <si>
    <t>Vår ränta</t>
  </si>
  <si>
    <t>PR Slamsugning</t>
  </si>
  <si>
    <t>3 038</t>
  </si>
  <si>
    <t>4 141</t>
  </si>
  <si>
    <t>Snittränta</t>
  </si>
  <si>
    <t>Bankkostnad</t>
  </si>
  <si>
    <t>1 203</t>
  </si>
  <si>
    <t>1 223</t>
  </si>
  <si>
    <t>Listränta</t>
  </si>
  <si>
    <t>Amortering Avskrivning tak</t>
  </si>
  <si>
    <t>Reserv</t>
  </si>
  <si>
    <t>6 538</t>
  </si>
  <si>
    <t>149 486</t>
  </si>
  <si>
    <t>130 591</t>
  </si>
  <si>
    <t>131 706</t>
  </si>
  <si>
    <t>Ing mvs 20%</t>
  </si>
  <si>
    <t>29 897</t>
  </si>
  <si>
    <t>26 118</t>
  </si>
  <si>
    <t>26 341</t>
  </si>
  <si>
    <t>ekl mvs</t>
  </si>
  <si>
    <t>Räntor</t>
  </si>
  <si>
    <t>LUP</t>
  </si>
  <si>
    <t>Avsättning LUF</t>
  </si>
  <si>
    <t>(saldo 31 dec 2024 101686 + 100 000 kr tillförs 17300 + 32700)</t>
  </si>
  <si>
    <t>ATT UTDEBITERA</t>
  </si>
  <si>
    <t>119 589</t>
  </si>
  <si>
    <t>104 473</t>
  </si>
  <si>
    <t>105 365</t>
  </si>
  <si>
    <t>Överskott</t>
  </si>
  <si>
    <t>Kartåsen Driftbidrag till LUF</t>
  </si>
  <si>
    <t>Behållning på Skattekontot</t>
  </si>
  <si>
    <t>2 601</t>
  </si>
  <si>
    <t>Tillgångar</t>
  </si>
  <si>
    <t>Kassa</t>
  </si>
  <si>
    <t>57 060</t>
  </si>
  <si>
    <t>Fond</t>
  </si>
  <si>
    <t>59 948</t>
  </si>
  <si>
    <t>Fastighet, tak</t>
  </si>
  <si>
    <t>Summa Tillgångar</t>
  </si>
  <si>
    <t>Skulder</t>
  </si>
  <si>
    <t>Lån</t>
  </si>
  <si>
    <t>Eget kapital</t>
  </si>
  <si>
    <t>Summa skulder</t>
  </si>
  <si>
    <t>Uppdaterad november 2024</t>
  </si>
  <si>
    <t>1. Långsiktig UnderhållsPlan (LUP)</t>
  </si>
  <si>
    <t>Byggår 1991</t>
  </si>
  <si>
    <t>SALDO FOND</t>
  </si>
  <si>
    <t>Verksamhet</t>
  </si>
  <si>
    <t>Livslängd</t>
  </si>
  <si>
    <t>Genomförs</t>
  </si>
  <si>
    <t>Kostnad</t>
  </si>
  <si>
    <t>Kostnad/år</t>
  </si>
  <si>
    <t>IB 2026</t>
  </si>
  <si>
    <t>Grönområde</t>
  </si>
  <si>
    <t>Gemensamma förråd mm</t>
  </si>
  <si>
    <t>Fasader</t>
  </si>
  <si>
    <t>Renovering av</t>
  </si>
  <si>
    <t>Cykelförråd &amp; Apparatrum</t>
  </si>
  <si>
    <t>Grönområde &amp; Belysning</t>
  </si>
  <si>
    <t>Lekplats</t>
  </si>
  <si>
    <t>Avsättning 2026</t>
  </si>
  <si>
    <t>Carport, P-platser &amp; Asfalt</t>
  </si>
  <si>
    <t>Driftbidrag  Kartåsen</t>
  </si>
  <si>
    <t>Hängrännor &amp; Stuprör</t>
  </si>
  <si>
    <t>Uttag</t>
  </si>
  <si>
    <t>UB 2026</t>
  </si>
  <si>
    <t>Vatten- &amp; Avloppsledn. på tomt</t>
  </si>
  <si>
    <t>Avsättning</t>
  </si>
  <si>
    <t>Resultat</t>
  </si>
  <si>
    <t>Ag Skönhet (plantera mera grönt )</t>
  </si>
  <si>
    <t>Plantera buskar</t>
  </si>
  <si>
    <t>Bygga grillplats vid flaggstång</t>
  </si>
  <si>
    <t>(lite prepp)</t>
  </si>
  <si>
    <t>Inte ändra stora sandlådan</t>
  </si>
  <si>
    <t>Staket och Portal längs trappan mot Norr</t>
  </si>
  <si>
    <t>Stenläggning vid 64D gavel mot Öst</t>
  </si>
  <si>
    <t>Balansräkning Samfälligheten 20241231</t>
  </si>
  <si>
    <t>Resultaträkning 2024</t>
  </si>
  <si>
    <t>Samfällighetsavgift</t>
  </si>
  <si>
    <t xml:space="preserve">TILLGÅNGAR </t>
  </si>
  <si>
    <t>SKULDER:</t>
  </si>
  <si>
    <t>Driftbidrag Kartåsen</t>
  </si>
  <si>
    <t>Genererad Ränta Investeringssparkonto</t>
  </si>
  <si>
    <t>KASSA</t>
  </si>
  <si>
    <t>LÅN HANDELSBANKEN</t>
  </si>
  <si>
    <t xml:space="preserve">Totala Intäkter </t>
  </si>
  <si>
    <t>FOND</t>
  </si>
  <si>
    <t>EGET KAPITAL</t>
  </si>
  <si>
    <t>TAK</t>
  </si>
  <si>
    <t>TOTALT</t>
  </si>
  <si>
    <t>Övriga kostnader, gårdsdagar, växter, robot</t>
  </si>
  <si>
    <t>Tak-relaterade kostnader (ex. besiktning, UH)</t>
  </si>
  <si>
    <t>Årets resultat</t>
  </si>
  <si>
    <t>Ränta Taklån</t>
  </si>
  <si>
    <t>Avskrivning Tak-lån (20 år)</t>
  </si>
  <si>
    <t>Årets resultat efter finansiella poster</t>
  </si>
  <si>
    <t>Avsätts till långsiktig underhållsfond</t>
  </si>
  <si>
    <t>IB 20250101</t>
  </si>
  <si>
    <t>IB</t>
  </si>
  <si>
    <t>UB 20251231</t>
  </si>
  <si>
    <t>Resultaträkning</t>
  </si>
  <si>
    <t>enl bokslut</t>
  </si>
  <si>
    <t>enl BR Bo S</t>
  </si>
  <si>
    <t>Betalkort</t>
  </si>
  <si>
    <t>Villaägarna (inkl försäkring samt LF carport)</t>
  </si>
  <si>
    <t>Moms</t>
  </si>
  <si>
    <t>Levskulder</t>
  </si>
  <si>
    <t>Underåll</t>
  </si>
  <si>
    <t>ver nr</t>
  </si>
  <si>
    <t>inköp</t>
  </si>
  <si>
    <t>ing mvs</t>
  </si>
  <si>
    <t>omsättning</t>
  </si>
  <si>
    <t>utg mvs</t>
  </si>
  <si>
    <t>inköp inkl mvs</t>
  </si>
  <si>
    <t>Tak</t>
  </si>
  <si>
    <t>Tot</t>
  </si>
  <si>
    <t>enl RR</t>
  </si>
  <si>
    <t>vatten</t>
  </si>
  <si>
    <t>Förslag Debiteringslängd 2026 Inbetalas till</t>
  </si>
  <si>
    <t>BG 546-8368</t>
  </si>
  <si>
    <t>Från budget</t>
  </si>
  <si>
    <t>Fastighet</t>
  </si>
  <si>
    <t>Almqvist/Mellenthin</t>
  </si>
  <si>
    <t>Bohman/Ström</t>
  </si>
  <si>
    <t>Stenhardt</t>
  </si>
  <si>
    <t>Kartåsen**</t>
  </si>
  <si>
    <t>Golin</t>
  </si>
  <si>
    <t>Salih</t>
  </si>
  <si>
    <t>Ståhlsparre***</t>
  </si>
  <si>
    <t>per månad</t>
  </si>
  <si>
    <t>Förfaller</t>
  </si>
  <si>
    <t>A</t>
  </si>
  <si>
    <t>B</t>
  </si>
  <si>
    <t>C</t>
  </si>
  <si>
    <t>D</t>
  </si>
  <si>
    <t>E</t>
  </si>
  <si>
    <t>F</t>
  </si>
  <si>
    <t>G</t>
  </si>
  <si>
    <t>H</t>
  </si>
  <si>
    <t>J</t>
  </si>
  <si>
    <t>SUMMA</t>
  </si>
  <si>
    <t>* 64B -60 kr/mån elkostnad inkl moms</t>
  </si>
  <si>
    <t>Intäkter exkl mvs</t>
  </si>
  <si>
    <t>Driftbidrag</t>
  </si>
  <si>
    <t>***64J -30 kr/mån elkostnad inkl moms</t>
  </si>
  <si>
    <t>övergående intäkt</t>
  </si>
  <si>
    <t>används för konsolidering av LUP</t>
  </si>
  <si>
    <t>Alla föreningsavgifter ovan är inkl moms</t>
  </si>
  <si>
    <t>Inbetalning av föreningsavgifter märks enligt exempel: 64Ajan, 64Afeb etc.</t>
  </si>
  <si>
    <t>Anläggning: Kapellvägen 64 - 735999120006336739 (Elnät,Elhandel)</t>
  </si>
  <si>
    <t>Månad</t>
  </si>
  <si>
    <t>År 2022 (kWh)</t>
  </si>
  <si>
    <t>År 2023 (kWh)</t>
  </si>
  <si>
    <t>År 2024 (kWh)</t>
  </si>
  <si>
    <t>År 2025 (kWh)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</si>
  <si>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</si>
  <si>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</si>
  <si>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</si>
  <si>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</si>
  <si>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</si>
  <si>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</si>
  <si>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</si>
  <si>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</si>
  <si>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</si>
  <si>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</si>
  <si>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</si>
  <si>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</si>
  <si>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Min:</t>
  </si>
  <si>
    <t>Medel:</t>
  </si>
  <si>
    <t>Totalt</t>
  </si>
  <si>
    <t>Fast avgift i kr 2025</t>
  </si>
  <si>
    <t>Beräknad årsförbr 251101</t>
  </si>
  <si>
    <t>kwh</t>
  </si>
  <si>
    <t xml:space="preserve">Rörligt pris </t>
  </si>
  <si>
    <t>nov 68 öre</t>
  </si>
  <si>
    <t>räknat med 1 kr</t>
  </si>
  <si>
    <t>Budgterad kostnad</t>
  </si>
  <si>
    <t>VATTEN</t>
  </si>
  <si>
    <t>År 2024</t>
  </si>
  <si>
    <t>År 2025</t>
  </si>
  <si>
    <t>År 2026</t>
  </si>
  <si>
    <t>kbm</t>
  </si>
  <si>
    <t>Tabell från Villaägaren</t>
  </si>
  <si>
    <t>Avfall &amp; Återvinning</t>
  </si>
  <si>
    <t>antal volym</t>
  </si>
  <si>
    <t>inkl mvs</t>
  </si>
  <si>
    <t>Hur mycket höjs taxan 2026?</t>
  </si>
  <si>
    <t>Rörlig avgift</t>
  </si>
  <si>
    <t>hushåll</t>
  </si>
  <si>
    <t>Skövde kommuns kommunfullmäktige beslutade den 28 oktober 2024 att höja brukningsavgifterna med 25 % från och med 1 januari 2025, förutom mätarstorleken 1 st Q3 4 som höjs 50 %.</t>
  </si>
  <si>
    <t>Den rörliga avgiften beräknas per kubikmeter levererat dricksvatten och täcker de rörliga kostnaderna för dricksvattenproduktion och avloppshantering.</t>
  </si>
  <si>
    <t>Avgifter 2026</t>
  </si>
  <si>
    <t>Material</t>
  </si>
  <si>
    <t>Intervall</t>
  </si>
  <si>
    <t>Matavfall 140 l</t>
  </si>
  <si>
    <t>kärl</t>
  </si>
  <si>
    <t>Rörlig avgift </t>
  </si>
  <si>
    <t>utan moms</t>
  </si>
  <si>
    <t>med moms</t>
  </si>
  <si>
    <t>Rör/ledningar</t>
  </si>
  <si>
    <t>Restavfall 660 l</t>
  </si>
  <si>
    <t>1 gng per vecka</t>
  </si>
  <si>
    <t>Justeringarna gäller både den fasta grundavgiften och den rörliga förbrukningsavgiften.</t>
  </si>
  <si>
    <t>Vattenförsörjning (V)</t>
  </si>
  <si>
    <t>Värmekulvert</t>
  </si>
  <si>
    <t>1gng per 2 veckor</t>
  </si>
  <si>
    <t>Anläggningsavgiften förblir oförändrad.</t>
  </si>
  <si>
    <t>Spillvattenavlopp </t>
  </si>
  <si>
    <t>Värmemängdsmätare</t>
  </si>
  <si>
    <t>VA- och dagvatteledningar</t>
  </si>
  <si>
    <t>Skövde energi</t>
  </si>
  <si>
    <t>el</t>
  </si>
  <si>
    <t>El</t>
  </si>
  <si>
    <t>Fast pris 3 år 2024-10-31 58,8 73,5</t>
  </si>
  <si>
    <t>Elledningar, centraler</t>
  </si>
  <si>
    <t>Exteriörbelysning</t>
  </si>
  <si>
    <t>Returpapper 140 l</t>
  </si>
  <si>
    <t>450 kr alt 945 kr</t>
  </si>
  <si>
    <t>Kabel-tv</t>
  </si>
  <si>
    <t>15-20</t>
  </si>
  <si>
    <t>Mark</t>
  </si>
  <si>
    <t>vatten kbm</t>
  </si>
  <si>
    <t xml:space="preserve">§ 12 Bebyggd fastighet </t>
  </si>
  <si>
    <t>Gräs, kompletteringssådd</t>
  </si>
  <si>
    <t>Q3</t>
  </si>
  <si>
    <t>fast avgift</t>
  </si>
  <si>
    <t xml:space="preserve">12.1 För bebyggd fastighet ska brukningsavgift betalas. </t>
  </si>
  <si>
    <t>Asfalt</t>
  </si>
  <si>
    <t>Avgift utgår per fastighet med: a) Grundavgift per år med moms</t>
  </si>
  <si>
    <t>Linjemarkering</t>
  </si>
  <si>
    <t>fastigheter</t>
  </si>
  <si>
    <t>Grus</t>
  </si>
  <si>
    <t xml:space="preserve">Kärl 140 liter för matavfall Hämtningsintervall </t>
  </si>
  <si>
    <t>Brunnar, slamsugning</t>
  </si>
  <si>
    <t>Hämtningsavgift (kr/kärl och år)</t>
  </si>
  <si>
    <t>1 gång/vecka 2 100 kr</t>
  </si>
  <si>
    <t>Lekutrustning, byte</t>
  </si>
  <si>
    <t>Lekutrustning, målning</t>
  </si>
  <si>
    <t>Abonnemang för tömning av restavfall vid flerbostadshus</t>
  </si>
  <si>
    <t>Leksand, byte</t>
  </si>
  <si>
    <t xml:space="preserve">Kärl 240 liter </t>
  </si>
  <si>
    <t>1  gång/vecka  4 620 kr</t>
  </si>
  <si>
    <t>Stängsel</t>
  </si>
  <si>
    <t>Träplank, målning</t>
  </si>
  <si>
    <t>Byggnad</t>
  </si>
  <si>
    <t>Takpannor</t>
  </si>
  <si>
    <t>30-</t>
  </si>
  <si>
    <t>Takpapp</t>
  </si>
  <si>
    <t>20-</t>
  </si>
  <si>
    <t>Plåttak</t>
  </si>
  <si>
    <t>35-</t>
  </si>
  <si>
    <t>Stuprör, hängrännor</t>
  </si>
  <si>
    <t>25-</t>
  </si>
  <si>
    <t>Målning</t>
  </si>
  <si>
    <t>Värme</t>
  </si>
  <si>
    <t>Värmepanna, 50–2000 kWh</t>
  </si>
  <si>
    <t>Bergvärmepump</t>
  </si>
  <si>
    <t>20-25</t>
  </si>
  <si>
    <t>Cirkulationspump</t>
  </si>
  <si>
    <t>Värmeväxlare</t>
  </si>
  <si>
    <t>Matavfall Tömning av matavfall ska kombineras med abonnemang för restavfall nedan. Tömning av matavfall är kostnadsfri - när det sker i samband med ordinarie tömning av restavfall eller - när tömning är 1 gång per vecka eller 1 gång per 2 veckor. För tömning av matavfall 2 gånger per vecka, som inte sker i samband med ordinarie tömning av restavfall utgår tilläggsavgift med 2 200 kronor per år. Tilläggsavgiften är per behållare och år vid flerbostadshus, samfälligheter med gemensam avfallshantering samt verksamheter. Påsar i storlek 9 liter, 20 liter samt 45 liter ingår i abonnemanget. Påshållare för 9-liters påse ingår.  Restavfall Hämtningsavgift för restavfall per behållare och år vid flerbostadshus, samfälligheter med gemensam avfallshantering samt verksamheter. Restavfall Tömningsfrekvens 1 gång / 2 veckor Kärl 140 liter* 1 100 kr 1 gång / vecka - 2 gånger / vecka 3 gånger / vecka - Kärl 190 liter 1 600 kr 3 360 kr - - - Kärl 240 liter 2 100 kr 4 410 kr 9 260 kr kan ej nytecknas</t>
  </si>
  <si>
    <t>1 per 2 veckor</t>
  </si>
  <si>
    <t>1 per vecka</t>
  </si>
  <si>
    <t>liter</t>
  </si>
  <si>
    <t>RESTAVFALL</t>
  </si>
  <si>
    <t>RETURPAPPER</t>
  </si>
  <si>
    <t>REUTURPAPPER</t>
  </si>
  <si>
    <t>Fastighetsnära insamling av returpapper är frivillig. Hämtningsavgift returpapper per behållare och år. Returpapper Tömningsfrekvens 1 gång / 4 veckor 1 gång / 2 veckor 1 gång / vecka (kan ej nytecknas) Kärl 140 liter 450 kr 945 kr</t>
  </si>
  <si>
    <t>Yttertak*</t>
  </si>
  <si>
    <t>Stambyte/Relining inomhus**</t>
  </si>
  <si>
    <t>*Yttertak belastar KSF genom amortering av taklånet.</t>
  </si>
  <si>
    <t>** Fastighetsägarens eget ansvar</t>
  </si>
  <si>
    <t>Prio 1 - utförs 2026</t>
  </si>
  <si>
    <t>Prio 2 - - utförs om möjligt 2026 annars 2027?</t>
  </si>
  <si>
    <t>** Kartåsen utdeb 1550 kr/*mån i driftbidrag inkl moms</t>
  </si>
  <si>
    <t>Sjöstrand/ Sandberg*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</si>
</sst>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&quot;;[Red]\-#,##0\ &quot;kr&quot;"/>
    <numFmt numFmtId="8" formatCode="#,##0.00\ &quot;kr&quot;;[Red]\-#,##0.00\ &quot;kr&quot;"/>
    <numFmt numFmtId="164" formatCode="#,##0\ &quot;kr&quot;"/>
    <numFmt numFmtId="165" formatCode="#,##0.00\ &quot;kr&quot;"/>
    <numFmt numFmtId="166" formatCode="yyyy\-mm\-dd"/>
  </numFmts>
  <fonts count="59">
    <font>
      <sz val="11"/>
      <color theme="1"/>
      <name val="Aptos Narrow"/>
      <scheme val="minor"/>
    </font>
    <font>
      <b/>
      <sz val="14"/>
      <color theme="1"/>
      <name val="Arial"/>
    </font>
    <font>
      <b/>
      <sz val="11"/>
      <color theme="1"/>
      <name val="Arial"/>
    </font>
    <font>
      <sz val="11"/>
      <color theme="1"/>
      <name val="Aptos Narrow"/>
    </font>
    <font>
      <sz val="10"/>
      <color theme="1"/>
      <name val="Arial"/>
    </font>
    <font>
      <b/>
      <sz val="10"/>
      <color theme="1"/>
      <name val="Arial"/>
    </font>
    <font>
      <b/>
      <i/>
      <u/>
      <sz val="10"/>
      <color theme="1"/>
      <name val="Arial"/>
    </font>
    <font>
      <b/>
      <sz val="12"/>
      <color theme="1"/>
      <name val="Aptos Narrow"/>
    </font>
    <font>
      <sz val="11"/>
      <color theme="1"/>
      <name val="Aptos Narrow"/>
      <scheme val="minor"/>
    </font>
    <font>
      <sz val="12"/>
      <color theme="1"/>
      <name val="Aptos"/>
    </font>
    <font>
      <b/>
      <sz val="11"/>
      <color theme="1"/>
      <name val="Aptos Narrow"/>
    </font>
    <font>
      <b/>
      <sz val="14"/>
      <color theme="1"/>
      <name val="Aptos Narrow"/>
      <scheme val="minor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rgb="FF38761D"/>
      <name val="Arial"/>
    </font>
    <font>
      <sz val="10"/>
      <color rgb="FF000000"/>
      <name val="Roboto"/>
    </font>
    <font>
      <sz val="11"/>
      <color theme="1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FF00"/>
      <name val="Arial"/>
    </font>
    <font>
      <b/>
      <sz val="14"/>
      <color rgb="FF000000"/>
      <name val="Arial"/>
    </font>
    <font>
      <sz val="10"/>
      <color rgb="FFFF9900"/>
      <name val="Arial"/>
    </font>
    <font>
      <b/>
      <sz val="12"/>
      <color rgb="FF9900FF"/>
      <name val="Arial"/>
    </font>
    <font>
      <sz val="10"/>
      <color theme="7"/>
      <name val="Arial"/>
    </font>
    <font>
      <b/>
      <sz val="12"/>
      <color theme="1"/>
      <name val="Arial"/>
    </font>
    <font>
      <sz val="11"/>
      <color theme="1"/>
      <name val="Arial"/>
    </font>
    <font>
      <sz val="11"/>
      <color rgb="FF0070C0"/>
      <name val="Aptos Narrow"/>
    </font>
    <font>
      <sz val="11"/>
      <color rgb="FF0070C0"/>
      <name val="Arial"/>
    </font>
    <font>
      <sz val="11"/>
      <color rgb="FFFF0000"/>
      <name val="Arial"/>
    </font>
    <font>
      <sz val="11"/>
      <color rgb="FFFF0000"/>
      <name val="Aptos Narrow"/>
    </font>
    <font>
      <b/>
      <sz val="20"/>
      <color theme="1"/>
      <name val="Aptos Narrow"/>
    </font>
    <font>
      <sz val="20"/>
      <color theme="1"/>
      <name val="Aptos Narrow"/>
    </font>
    <font>
      <b/>
      <sz val="14"/>
      <color theme="1"/>
      <name val="Aptos Narrow"/>
    </font>
    <font>
      <sz val="14"/>
      <color theme="1"/>
      <name val="Aptos Narrow"/>
    </font>
    <font>
      <b/>
      <sz val="14"/>
      <color rgb="FFC00000"/>
      <name val="Aptos Narrow"/>
    </font>
    <font>
      <sz val="14"/>
      <color theme="1"/>
      <name val="Calibri"/>
    </font>
    <font>
      <b/>
      <sz val="20"/>
      <color rgb="FF0C0C0C"/>
      <name val="Aptos Narrow"/>
    </font>
    <font>
      <b/>
      <i/>
      <u/>
      <sz val="14"/>
      <color theme="1"/>
      <name val="Aptos Narrow"/>
    </font>
    <font>
      <b/>
      <sz val="12"/>
      <color rgb="FFC00000"/>
      <name val="Aptos Narrow"/>
    </font>
    <font>
      <b/>
      <sz val="14"/>
      <color rgb="FF548135"/>
      <name val="Aptos Narrow"/>
    </font>
    <font>
      <b/>
      <sz val="14"/>
      <color rgb="FF0C0C0C"/>
      <name val="Aptos Narrow"/>
    </font>
    <font>
      <u/>
      <sz val="11"/>
      <color theme="10"/>
      <name val="Aptos Narrow"/>
    </font>
    <font>
      <sz val="12"/>
      <color rgb="FF111111"/>
      <name val="Source Sans Pro"/>
    </font>
    <font>
      <b/>
      <sz val="8"/>
      <color rgb="FF111111"/>
      <name val="Source Sans Pro"/>
    </font>
    <font>
      <b/>
      <sz val="12"/>
      <color theme="1"/>
      <name val="Times New Roman"/>
    </font>
    <font>
      <sz val="12"/>
      <color theme="1"/>
      <name val="Times New Roman"/>
    </font>
    <font>
      <sz val="8"/>
      <color rgb="FF111111"/>
      <name val="Source Sans Pro"/>
    </font>
    <font>
      <b/>
      <sz val="13"/>
      <color rgb="FFFFFFFF"/>
      <name val="Source Sans Pro"/>
    </font>
    <font>
      <sz val="13"/>
      <color rgb="FF111111"/>
      <name val="Source Sans Pro"/>
    </font>
    <font>
      <sz val="10"/>
      <color rgb="FFFF0000"/>
      <name val="Roboto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70C0"/>
      <name val="Roboto"/>
    </font>
    <font>
      <sz val="10"/>
      <color rgb="FF0070C0"/>
      <name val="Arial"/>
      <family val="2"/>
    </font>
    <font>
      <sz val="11"/>
      <color rgb="FF4A86E8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4A4A49"/>
        <bgColor rgb="FF4A4A49"/>
      </patternFill>
    </fill>
    <fill>
      <patternFill patternType="solid">
        <fgColor rgb="FFF9F9F9"/>
        <bgColor rgb="FFF9F9F9"/>
      </patternFill>
    </fill>
    <fill>
      <patternFill patternType="solid">
        <fgColor rgb="FFA5A5A5"/>
        <bgColor rgb="FFA5A5A5"/>
      </patternFill>
    </fill>
  </fills>
  <borders count="6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double">
        <color rgb="FF000000"/>
      </bottom>
      <diagonal/>
    </border>
    <border>
      <left/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14" fontId="4" fillId="0" borderId="3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10" fontId="4" fillId="3" borderId="1" xfId="0" applyNumberFormat="1" applyFont="1" applyFill="1" applyBorder="1" applyAlignment="1">
      <alignment horizontal="right" wrapText="1"/>
    </xf>
    <xf numFmtId="10" fontId="4" fillId="3" borderId="2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3" fontId="3" fillId="0" borderId="6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3" fillId="0" borderId="8" xfId="0" applyNumberFormat="1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4" fillId="0" borderId="9" xfId="0" applyNumberFormat="1" applyFont="1" applyBorder="1" applyAlignment="1">
      <alignment horizontal="right" wrapText="1"/>
    </xf>
    <xf numFmtId="1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3" fontId="3" fillId="0" borderId="10" xfId="0" applyNumberFormat="1" applyFont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0" fontId="4" fillId="0" borderId="11" xfId="0" applyFont="1" applyBorder="1" applyAlignment="1">
      <alignment wrapText="1"/>
    </xf>
    <xf numFmtId="3" fontId="4" fillId="0" borderId="11" xfId="0" applyNumberFormat="1" applyFont="1" applyBorder="1" applyAlignment="1">
      <alignment horizontal="right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164" fontId="3" fillId="0" borderId="14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0" fontId="4" fillId="2" borderId="1" xfId="0" applyFont="1" applyFill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2" fontId="3" fillId="0" borderId="0" xfId="0" applyNumberFormat="1" applyFont="1"/>
    <xf numFmtId="0" fontId="8" fillId="0" borderId="0" xfId="0" applyFont="1"/>
    <xf numFmtId="0" fontId="4" fillId="2" borderId="11" xfId="0" applyFont="1" applyFill="1" applyBorder="1" applyAlignment="1">
      <alignment wrapText="1"/>
    </xf>
    <xf numFmtId="3" fontId="4" fillId="2" borderId="11" xfId="0" applyNumberFormat="1" applyFont="1" applyFill="1" applyBorder="1" applyAlignment="1">
      <alignment horizontal="right" wrapText="1"/>
    </xf>
    <xf numFmtId="3" fontId="3" fillId="2" borderId="11" xfId="0" applyNumberFormat="1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 wrapText="1"/>
    </xf>
    <xf numFmtId="0" fontId="4" fillId="2" borderId="18" xfId="0" applyFont="1" applyFill="1" applyBorder="1" applyAlignment="1">
      <alignment wrapText="1"/>
    </xf>
    <xf numFmtId="3" fontId="4" fillId="2" borderId="18" xfId="0" applyNumberFormat="1" applyFont="1" applyFill="1" applyBorder="1" applyAlignment="1">
      <alignment horizontal="right" wrapText="1"/>
    </xf>
    <xf numFmtId="0" fontId="4" fillId="2" borderId="18" xfId="0" applyFont="1" applyFill="1" applyBorder="1" applyAlignment="1">
      <alignment horizontal="right" wrapText="1"/>
    </xf>
    <xf numFmtId="0" fontId="4" fillId="2" borderId="19" xfId="0" applyFont="1" applyFill="1" applyBorder="1" applyAlignment="1">
      <alignment wrapText="1"/>
    </xf>
    <xf numFmtId="3" fontId="2" fillId="2" borderId="19" xfId="0" applyNumberFormat="1" applyFont="1" applyFill="1" applyBorder="1" applyAlignment="1">
      <alignment horizontal="right" wrapText="1"/>
    </xf>
    <xf numFmtId="0" fontId="4" fillId="0" borderId="20" xfId="0" applyFont="1" applyBorder="1" applyAlignment="1">
      <alignment wrapText="1"/>
    </xf>
    <xf numFmtId="3" fontId="4" fillId="0" borderId="20" xfId="0" applyNumberFormat="1" applyFont="1" applyBorder="1" applyAlignment="1">
      <alignment horizontal="right" wrapText="1"/>
    </xf>
    <xf numFmtId="0" fontId="2" fillId="2" borderId="21" xfId="0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 wrapText="1"/>
    </xf>
    <xf numFmtId="0" fontId="4" fillId="0" borderId="15" xfId="0" applyFont="1" applyBorder="1" applyAlignment="1">
      <alignment wrapText="1"/>
    </xf>
    <xf numFmtId="3" fontId="4" fillId="0" borderId="15" xfId="0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9" fillId="0" borderId="0" xfId="0" applyFont="1"/>
    <xf numFmtId="0" fontId="10" fillId="3" borderId="1" xfId="0" applyFont="1" applyFill="1" applyBorder="1" applyAlignment="1">
      <alignment wrapText="1"/>
    </xf>
    <xf numFmtId="3" fontId="7" fillId="3" borderId="1" xfId="0" applyNumberFormat="1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3" fontId="3" fillId="0" borderId="9" xfId="0" applyNumberFormat="1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0" fontId="4" fillId="2" borderId="9" xfId="0" applyFont="1" applyFill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3" fillId="2" borderId="9" xfId="0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11" fillId="0" borderId="0" xfId="0" applyFont="1"/>
    <xf numFmtId="0" fontId="12" fillId="4" borderId="22" xfId="0" applyFont="1" applyFill="1" applyBorder="1"/>
    <xf numFmtId="0" fontId="4" fillId="4" borderId="23" xfId="0" applyFont="1" applyFill="1" applyBorder="1"/>
    <xf numFmtId="0" fontId="13" fillId="4" borderId="23" xfId="0" applyFont="1" applyFill="1" applyBorder="1"/>
    <xf numFmtId="0" fontId="4" fillId="4" borderId="24" xfId="0" applyFont="1" applyFill="1" applyBorder="1"/>
    <xf numFmtId="0" fontId="13" fillId="4" borderId="25" xfId="0" applyFont="1" applyFill="1" applyBorder="1"/>
    <xf numFmtId="0" fontId="14" fillId="4" borderId="26" xfId="0" applyFont="1" applyFill="1" applyBorder="1"/>
    <xf numFmtId="0" fontId="5" fillId="4" borderId="26" xfId="0" applyFont="1" applyFill="1" applyBorder="1"/>
    <xf numFmtId="0" fontId="15" fillId="4" borderId="26" xfId="0" applyFont="1" applyFill="1" applyBorder="1"/>
    <xf numFmtId="0" fontId="5" fillId="4" borderId="27" xfId="0" applyFont="1" applyFill="1" applyBorder="1"/>
    <xf numFmtId="4" fontId="3" fillId="0" borderId="0" xfId="0" applyNumberFormat="1" applyFont="1"/>
    <xf numFmtId="0" fontId="16" fillId="4" borderId="27" xfId="0" applyFont="1" applyFill="1" applyBorder="1"/>
    <xf numFmtId="0" fontId="17" fillId="4" borderId="28" xfId="0" applyFont="1" applyFill="1" applyBorder="1"/>
    <xf numFmtId="3" fontId="18" fillId="4" borderId="19" xfId="0" applyNumberFormat="1" applyFont="1" applyFill="1" applyBorder="1" applyAlignment="1">
      <alignment horizontal="center"/>
    </xf>
    <xf numFmtId="0" fontId="18" fillId="4" borderId="19" xfId="0" applyFont="1" applyFill="1" applyBorder="1" applyAlignment="1">
      <alignment horizontal="center"/>
    </xf>
    <xf numFmtId="3" fontId="18" fillId="4" borderId="19" xfId="0" applyNumberFormat="1" applyFont="1" applyFill="1" applyBorder="1" applyAlignment="1">
      <alignment horizontal="right"/>
    </xf>
    <xf numFmtId="3" fontId="18" fillId="4" borderId="29" xfId="0" applyNumberFormat="1" applyFont="1" applyFill="1" applyBorder="1" applyAlignment="1">
      <alignment horizontal="right"/>
    </xf>
    <xf numFmtId="0" fontId="4" fillId="4" borderId="19" xfId="0" applyFont="1" applyFill="1" applyBorder="1"/>
    <xf numFmtId="3" fontId="19" fillId="4" borderId="19" xfId="0" applyNumberFormat="1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3" fontId="19" fillId="4" borderId="19" xfId="0" applyNumberFormat="1" applyFont="1" applyFill="1" applyBorder="1" applyAlignment="1">
      <alignment horizontal="right"/>
    </xf>
    <xf numFmtId="0" fontId="20" fillId="0" borderId="0" xfId="0" applyFont="1"/>
    <xf numFmtId="0" fontId="17" fillId="4" borderId="19" xfId="0" applyFont="1" applyFill="1" applyBorder="1"/>
    <xf numFmtId="0" fontId="19" fillId="4" borderId="27" xfId="0" applyFont="1" applyFill="1" applyBorder="1"/>
    <xf numFmtId="3" fontId="3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16" fillId="4" borderId="30" xfId="0" applyFont="1" applyFill="1" applyBorder="1"/>
    <xf numFmtId="3" fontId="19" fillId="4" borderId="31" xfId="0" applyNumberFormat="1" applyFont="1" applyFill="1" applyBorder="1" applyAlignment="1">
      <alignment horizontal="center"/>
    </xf>
    <xf numFmtId="3" fontId="19" fillId="4" borderId="31" xfId="0" applyNumberFormat="1" applyFont="1" applyFill="1" applyBorder="1" applyAlignment="1">
      <alignment horizontal="right"/>
    </xf>
    <xf numFmtId="3" fontId="18" fillId="4" borderId="32" xfId="0" applyNumberFormat="1" applyFont="1" applyFill="1" applyBorder="1" applyAlignment="1">
      <alignment horizontal="right"/>
    </xf>
    <xf numFmtId="0" fontId="16" fillId="4" borderId="33" xfId="0" applyFont="1" applyFill="1" applyBorder="1"/>
    <xf numFmtId="0" fontId="16" fillId="4" borderId="19" xfId="0" applyFont="1" applyFill="1" applyBorder="1"/>
    <xf numFmtId="3" fontId="22" fillId="4" borderId="34" xfId="0" applyNumberFormat="1" applyFont="1" applyFill="1" applyBorder="1" applyAlignment="1">
      <alignment horizontal="right"/>
    </xf>
    <xf numFmtId="0" fontId="3" fillId="4" borderId="19" xfId="0" applyFont="1" applyFill="1" applyBorder="1"/>
    <xf numFmtId="0" fontId="13" fillId="5" borderId="26" xfId="0" applyFont="1" applyFill="1" applyBorder="1"/>
    <xf numFmtId="3" fontId="23" fillId="5" borderId="26" xfId="0" applyNumberFormat="1" applyFont="1" applyFill="1" applyBorder="1"/>
    <xf numFmtId="0" fontId="4" fillId="4" borderId="27" xfId="0" applyFont="1" applyFill="1" applyBorder="1"/>
    <xf numFmtId="0" fontId="24" fillId="4" borderId="19" xfId="0" applyFont="1" applyFill="1" applyBorder="1" applyAlignment="1">
      <alignment horizontal="right"/>
    </xf>
    <xf numFmtId="3" fontId="4" fillId="4" borderId="35" xfId="0" applyNumberFormat="1" applyFont="1" applyFill="1" applyBorder="1"/>
    <xf numFmtId="3" fontId="5" fillId="4" borderId="35" xfId="0" applyNumberFormat="1" applyFont="1" applyFill="1" applyBorder="1"/>
    <xf numFmtId="3" fontId="25" fillId="3" borderId="35" xfId="0" applyNumberFormat="1" applyFont="1" applyFill="1" applyBorder="1"/>
    <xf numFmtId="0" fontId="26" fillId="4" borderId="19" xfId="0" applyFont="1" applyFill="1" applyBorder="1"/>
    <xf numFmtId="0" fontId="20" fillId="4" borderId="19" xfId="0" applyFont="1" applyFill="1" applyBorder="1"/>
    <xf numFmtId="3" fontId="27" fillId="0" borderId="36" xfId="0" applyNumberFormat="1" applyFont="1" applyBorder="1"/>
    <xf numFmtId="164" fontId="18" fillId="0" borderId="0" xfId="0" applyNumberFormat="1" applyFont="1"/>
    <xf numFmtId="0" fontId="28" fillId="0" borderId="0" xfId="0" applyFont="1"/>
    <xf numFmtId="0" fontId="29" fillId="0" borderId="0" xfId="0" applyFont="1"/>
    <xf numFmtId="0" fontId="19" fillId="0" borderId="0" xfId="0" applyFont="1"/>
    <xf numFmtId="0" fontId="30" fillId="0" borderId="0" xfId="0" applyFont="1"/>
    <xf numFmtId="164" fontId="18" fillId="0" borderId="37" xfId="0" applyNumberFormat="1" applyFont="1" applyBorder="1"/>
    <xf numFmtId="164" fontId="31" fillId="0" borderId="0" xfId="0" applyNumberFormat="1" applyFont="1"/>
    <xf numFmtId="164" fontId="32" fillId="0" borderId="0" xfId="0" applyNumberFormat="1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7" fillId="0" borderId="0" xfId="0" applyFont="1"/>
    <xf numFmtId="0" fontId="36" fillId="0" borderId="0" xfId="0" applyFont="1"/>
    <xf numFmtId="0" fontId="1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3" fontId="34" fillId="0" borderId="0" xfId="0" applyNumberFormat="1" applyFont="1"/>
    <xf numFmtId="0" fontId="42" fillId="0" borderId="0" xfId="0" applyFont="1"/>
    <xf numFmtId="3" fontId="3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165" fontId="36" fillId="0" borderId="0" xfId="0" applyNumberFormat="1" applyFont="1"/>
    <xf numFmtId="164" fontId="36" fillId="0" borderId="0" xfId="0" applyNumberFormat="1" applyFont="1"/>
    <xf numFmtId="0" fontId="43" fillId="0" borderId="0" xfId="0" applyFont="1"/>
    <xf numFmtId="165" fontId="3" fillId="3" borderId="19" xfId="0" applyNumberFormat="1" applyFont="1" applyFill="1" applyBorder="1"/>
    <xf numFmtId="165" fontId="35" fillId="0" borderId="0" xfId="0" applyNumberFormat="1" applyFont="1"/>
    <xf numFmtId="3" fontId="36" fillId="0" borderId="0" xfId="0" applyNumberFormat="1" applyFont="1"/>
    <xf numFmtId="165" fontId="36" fillId="3" borderId="19" xfId="0" applyNumberFormat="1" applyFont="1" applyFill="1" applyBorder="1"/>
    <xf numFmtId="3" fontId="35" fillId="0" borderId="0" xfId="0" applyNumberFormat="1" applyFont="1"/>
    <xf numFmtId="0" fontId="3" fillId="0" borderId="38" xfId="0" applyFont="1" applyBorder="1"/>
    <xf numFmtId="0" fontId="3" fillId="0" borderId="37" xfId="0" applyFont="1" applyBorder="1"/>
    <xf numFmtId="165" fontId="3" fillId="0" borderId="37" xfId="0" applyNumberFormat="1" applyFont="1" applyBorder="1"/>
    <xf numFmtId="0" fontId="3" fillId="0" borderId="39" xfId="0" applyFont="1" applyBorder="1"/>
    <xf numFmtId="165" fontId="3" fillId="0" borderId="40" xfId="0" applyNumberFormat="1" applyFont="1" applyBorder="1"/>
    <xf numFmtId="165" fontId="3" fillId="0" borderId="41" xfId="0" applyNumberFormat="1" applyFont="1" applyBorder="1"/>
    <xf numFmtId="3" fontId="27" fillId="0" borderId="42" xfId="0" applyNumberFormat="1" applyFont="1" applyBorder="1"/>
    <xf numFmtId="3" fontId="4" fillId="0" borderId="42" xfId="0" applyNumberFormat="1" applyFont="1" applyBorder="1"/>
    <xf numFmtId="3" fontId="27" fillId="0" borderId="42" xfId="0" applyNumberFormat="1" applyFont="1" applyBorder="1" applyAlignment="1">
      <alignment horizontal="center"/>
    </xf>
    <xf numFmtId="3" fontId="5" fillId="0" borderId="42" xfId="0" applyNumberFormat="1" applyFont="1" applyBorder="1"/>
    <xf numFmtId="3" fontId="5" fillId="3" borderId="43" xfId="0" applyNumberFormat="1" applyFont="1" applyFill="1" applyBorder="1" applyAlignment="1">
      <alignment horizontal="center"/>
    </xf>
    <xf numFmtId="6" fontId="5" fillId="0" borderId="44" xfId="0" applyNumberFormat="1" applyFont="1" applyBorder="1"/>
    <xf numFmtId="0" fontId="5" fillId="0" borderId="45" xfId="0" applyFont="1" applyBorder="1"/>
    <xf numFmtId="0" fontId="4" fillId="0" borderId="0" xfId="0" applyFont="1"/>
    <xf numFmtId="0" fontId="27" fillId="0" borderId="42" xfId="0" applyFont="1" applyBorder="1"/>
    <xf numFmtId="0" fontId="27" fillId="0" borderId="42" xfId="0" applyFont="1" applyBorder="1" applyAlignment="1">
      <alignment horizontal="center"/>
    </xf>
    <xf numFmtId="3" fontId="27" fillId="0" borderId="46" xfId="0" applyNumberFormat="1" applyFont="1" applyBorder="1" applyAlignment="1">
      <alignment horizontal="center"/>
    </xf>
    <xf numFmtId="6" fontId="5" fillId="0" borderId="47" xfId="0" applyNumberFormat="1" applyFont="1" applyBorder="1"/>
    <xf numFmtId="0" fontId="5" fillId="0" borderId="48" xfId="0" applyFont="1" applyBorder="1"/>
    <xf numFmtId="0" fontId="5" fillId="0" borderId="42" xfId="0" applyFont="1" applyBorder="1"/>
    <xf numFmtId="3" fontId="5" fillId="0" borderId="42" xfId="0" applyNumberFormat="1" applyFont="1" applyBorder="1" applyAlignment="1">
      <alignment horizontal="center"/>
    </xf>
    <xf numFmtId="0" fontId="5" fillId="0" borderId="49" xfId="0" applyFont="1" applyBorder="1" applyAlignment="1">
      <alignment horizontal="right"/>
    </xf>
    <xf numFmtId="166" fontId="4" fillId="0" borderId="42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center"/>
    </xf>
    <xf numFmtId="3" fontId="4" fillId="0" borderId="42" xfId="0" applyNumberFormat="1" applyFont="1" applyBorder="1" applyAlignment="1">
      <alignment horizontal="right"/>
    </xf>
    <xf numFmtId="0" fontId="5" fillId="0" borderId="0" xfId="0" applyFont="1"/>
    <xf numFmtId="0" fontId="4" fillId="0" borderId="50" xfId="0" applyFont="1" applyBorder="1"/>
    <xf numFmtId="1" fontId="4" fillId="3" borderId="19" xfId="0" applyNumberFormat="1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1" fontId="3" fillId="3" borderId="19" xfId="0" applyNumberFormat="1" applyFont="1" applyFill="1" applyBorder="1" applyAlignment="1">
      <alignment horizontal="center"/>
    </xf>
    <xf numFmtId="3" fontId="4" fillId="0" borderId="0" xfId="0" applyNumberFormat="1" applyFont="1"/>
    <xf numFmtId="49" fontId="4" fillId="0" borderId="0" xfId="0" applyNumberFormat="1" applyFont="1" applyAlignment="1">
      <alignment horizontal="left" readingOrder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10" fillId="0" borderId="40" xfId="0" applyNumberFormat="1" applyFont="1" applyBorder="1"/>
    <xf numFmtId="0" fontId="3" fillId="0" borderId="41" xfId="0" applyFont="1" applyBorder="1"/>
    <xf numFmtId="0" fontId="44" fillId="0" borderId="0" xfId="0" applyFont="1"/>
    <xf numFmtId="0" fontId="10" fillId="0" borderId="0" xfId="0" applyFont="1"/>
    <xf numFmtId="0" fontId="45" fillId="0" borderId="44" xfId="0" applyFont="1" applyBorder="1" applyAlignment="1">
      <alignment vertical="center" wrapText="1"/>
    </xf>
    <xf numFmtId="0" fontId="3" fillId="0" borderId="51" xfId="0" applyFont="1" applyBorder="1"/>
    <xf numFmtId="0" fontId="46" fillId="0" borderId="51" xfId="0" applyFont="1" applyBorder="1" applyAlignment="1">
      <alignment vertical="center" wrapText="1"/>
    </xf>
    <xf numFmtId="0" fontId="3" fillId="0" borderId="45" xfId="0" applyFont="1" applyBorder="1"/>
    <xf numFmtId="0" fontId="47" fillId="0" borderId="44" xfId="0" applyFont="1" applyBorder="1"/>
    <xf numFmtId="0" fontId="48" fillId="0" borderId="45" xfId="0" applyFont="1" applyBorder="1"/>
    <xf numFmtId="0" fontId="48" fillId="0" borderId="0" xfId="0" applyFont="1"/>
    <xf numFmtId="0" fontId="49" fillId="0" borderId="52" xfId="0" applyFont="1" applyBorder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0" fontId="3" fillId="0" borderId="53" xfId="0" applyFont="1" applyBorder="1"/>
    <xf numFmtId="0" fontId="47" fillId="0" borderId="39" xfId="0" applyFont="1" applyBorder="1"/>
    <xf numFmtId="0" fontId="47" fillId="0" borderId="41" xfId="0" applyFont="1" applyBorder="1"/>
    <xf numFmtId="0" fontId="3" fillId="0" borderId="52" xfId="0" applyFont="1" applyBorder="1" applyAlignment="1">
      <alignment horizontal="left" vertical="center" wrapText="1"/>
    </xf>
    <xf numFmtId="0" fontId="50" fillId="6" borderId="42" xfId="0" applyFont="1" applyFill="1" applyBorder="1" applyAlignment="1">
      <alignment vertical="center" wrapText="1"/>
    </xf>
    <xf numFmtId="0" fontId="50" fillId="6" borderId="54" xfId="0" applyFont="1" applyFill="1" applyBorder="1" applyAlignment="1">
      <alignment vertical="center" wrapText="1"/>
    </xf>
    <xf numFmtId="0" fontId="47" fillId="0" borderId="52" xfId="0" applyFont="1" applyBorder="1"/>
    <xf numFmtId="0" fontId="48" fillId="0" borderId="55" xfId="0" applyFont="1" applyBorder="1"/>
    <xf numFmtId="164" fontId="20" fillId="0" borderId="0" xfId="0" applyNumberFormat="1" applyFont="1"/>
    <xf numFmtId="0" fontId="51" fillId="7" borderId="42" xfId="0" applyFont="1" applyFill="1" applyBorder="1" applyAlignment="1">
      <alignment vertical="center" wrapText="1"/>
    </xf>
    <xf numFmtId="0" fontId="51" fillId="7" borderId="54" xfId="0" applyFont="1" applyFill="1" applyBorder="1" applyAlignment="1">
      <alignment vertical="center" wrapText="1"/>
    </xf>
    <xf numFmtId="0" fontId="48" fillId="0" borderId="52" xfId="0" applyFont="1" applyBorder="1"/>
    <xf numFmtId="0" fontId="48" fillId="0" borderId="56" xfId="0" applyFont="1" applyBorder="1" applyAlignment="1">
      <alignment horizontal="right"/>
    </xf>
    <xf numFmtId="164" fontId="21" fillId="0" borderId="0" xfId="0" applyNumberFormat="1" applyFont="1"/>
    <xf numFmtId="0" fontId="3" fillId="0" borderId="52" xfId="0" applyFont="1" applyBorder="1"/>
    <xf numFmtId="8" fontId="51" fillId="7" borderId="42" xfId="0" applyNumberFormat="1" applyFont="1" applyFill="1" applyBorder="1" applyAlignment="1">
      <alignment vertical="center" wrapText="1"/>
    </xf>
    <xf numFmtId="8" fontId="51" fillId="7" borderId="54" xfId="0" applyNumberFormat="1" applyFont="1" applyFill="1" applyBorder="1" applyAlignment="1">
      <alignment vertical="center" wrapText="1"/>
    </xf>
    <xf numFmtId="164" fontId="3" fillId="3" borderId="19" xfId="0" applyNumberFormat="1" applyFont="1" applyFill="1" applyBorder="1"/>
    <xf numFmtId="0" fontId="3" fillId="3" borderId="19" xfId="0" applyFont="1" applyFill="1" applyBorder="1"/>
    <xf numFmtId="0" fontId="3" fillId="0" borderId="57" xfId="0" applyFont="1" applyBorder="1"/>
    <xf numFmtId="0" fontId="3" fillId="0" borderId="58" xfId="0" applyFont="1" applyBorder="1"/>
    <xf numFmtId="8" fontId="3" fillId="0" borderId="58" xfId="0" applyNumberFormat="1" applyFont="1" applyBorder="1"/>
    <xf numFmtId="8" fontId="3" fillId="0" borderId="48" xfId="0" applyNumberFormat="1" applyFont="1" applyBorder="1"/>
    <xf numFmtId="0" fontId="3" fillId="0" borderId="0" xfId="0" applyFont="1" applyAlignment="1">
      <alignment horizontal="center"/>
    </xf>
    <xf numFmtId="0" fontId="3" fillId="0" borderId="44" xfId="0" applyFont="1" applyBorder="1"/>
    <xf numFmtId="0" fontId="3" fillId="0" borderId="48" xfId="0" applyFont="1" applyBorder="1"/>
    <xf numFmtId="164" fontId="3" fillId="0" borderId="37" xfId="0" applyNumberFormat="1" applyFont="1" applyBorder="1"/>
    <xf numFmtId="0" fontId="3" fillId="0" borderId="59" xfId="0" applyFont="1" applyBorder="1"/>
    <xf numFmtId="0" fontId="48" fillId="0" borderId="57" xfId="0" applyFont="1" applyBorder="1"/>
    <xf numFmtId="0" fontId="48" fillId="0" borderId="58" xfId="0" applyFont="1" applyBorder="1"/>
    <xf numFmtId="0" fontId="48" fillId="0" borderId="60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3" fillId="8" borderId="19" xfId="0" applyFont="1" applyFill="1" applyBorder="1"/>
    <xf numFmtId="164" fontId="3" fillId="8" borderId="19" xfId="0" applyNumberFormat="1" applyFont="1" applyFill="1" applyBorder="1"/>
    <xf numFmtId="0" fontId="3" fillId="0" borderId="0" xfId="0" applyFont="1"/>
    <xf numFmtId="0" fontId="0" fillId="0" borderId="0" xfId="0"/>
    <xf numFmtId="0" fontId="52" fillId="4" borderId="19" xfId="0" applyFont="1" applyFill="1" applyBorder="1"/>
    <xf numFmtId="0" fontId="53" fillId="4" borderId="27" xfId="0" applyFont="1" applyFill="1" applyBorder="1"/>
    <xf numFmtId="0" fontId="16" fillId="4" borderId="61" xfId="0" applyFont="1" applyFill="1" applyBorder="1"/>
    <xf numFmtId="0" fontId="55" fillId="4" borderId="19" xfId="0" applyFont="1" applyFill="1" applyBorder="1"/>
    <xf numFmtId="0" fontId="56" fillId="4" borderId="19" xfId="0" applyFont="1" applyFill="1" applyBorder="1"/>
    <xf numFmtId="0" fontId="57" fillId="0" borderId="0" xfId="0" applyFont="1"/>
    <xf numFmtId="0" fontId="54" fillId="0" borderId="0" xfId="0" applyFont="1"/>
    <xf numFmtId="3" fontId="58" fillId="0" borderId="4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opLeftCell="A4" workbookViewId="0"/>
  </sheetViews>
  <sheetFormatPr defaultColWidth="12.625" defaultRowHeight="15" customHeight="1"/>
  <cols>
    <col min="1" max="1" width="26.125" customWidth="1"/>
    <col min="2" max="2" width="15.125" customWidth="1"/>
    <col min="3" max="3" width="12.125" customWidth="1"/>
    <col min="4" max="4" width="10.375" customWidth="1"/>
    <col min="5" max="9" width="8.625" customWidth="1"/>
    <col min="10" max="10" width="11.25" customWidth="1"/>
    <col min="11" max="11" width="14.625" customWidth="1"/>
    <col min="12" max="12" width="11.875" customWidth="1"/>
    <col min="13" max="14" width="11.125" customWidth="1"/>
    <col min="15" max="15" width="11.875" customWidth="1"/>
    <col min="16" max="16" width="13" customWidth="1"/>
    <col min="17" max="17" width="11.5" customWidth="1"/>
    <col min="18" max="27" width="8.625" customWidth="1"/>
  </cols>
  <sheetData>
    <row r="1" spans="1:27" ht="14.25" customHeight="1">
      <c r="A1" s="1" t="s">
        <v>0</v>
      </c>
      <c r="B1" s="2">
        <v>2026</v>
      </c>
      <c r="C1" s="2">
        <v>2025</v>
      </c>
      <c r="D1" s="2">
        <v>2024</v>
      </c>
      <c r="E1" s="2">
        <v>2023</v>
      </c>
      <c r="F1" s="2">
        <v>2022</v>
      </c>
      <c r="G1" s="2">
        <v>2021</v>
      </c>
      <c r="H1" s="3"/>
      <c r="I1" s="4"/>
      <c r="J1" s="5"/>
      <c r="K1" s="5" t="s">
        <v>1</v>
      </c>
      <c r="L1" s="6" t="s">
        <v>2</v>
      </c>
      <c r="M1" s="7">
        <v>46722</v>
      </c>
      <c r="N1" s="8">
        <v>46357</v>
      </c>
      <c r="O1" s="9">
        <v>2024</v>
      </c>
      <c r="P1" s="3">
        <v>2025</v>
      </c>
      <c r="Q1" s="3">
        <v>2026</v>
      </c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0.75" customHeight="1">
      <c r="A2" s="10" t="s">
        <v>3</v>
      </c>
      <c r="B2" s="11">
        <f>B26</f>
        <v>358559.27500000002</v>
      </c>
      <c r="C2" s="11">
        <v>404699</v>
      </c>
      <c r="D2" s="12">
        <v>422280</v>
      </c>
      <c r="E2" s="2" t="s">
        <v>4</v>
      </c>
      <c r="F2" s="3"/>
      <c r="G2" s="3"/>
      <c r="H2" s="3"/>
      <c r="I2" s="4"/>
      <c r="J2" s="3"/>
      <c r="K2" s="13" t="s">
        <v>5</v>
      </c>
      <c r="L2" s="14">
        <v>3.3000000000000002E-2</v>
      </c>
      <c r="M2" s="14">
        <v>3.2800000000000003E-2</v>
      </c>
      <c r="N2" s="15">
        <v>3.2099999999999997E-2</v>
      </c>
      <c r="O2" s="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4.25" customHeight="1">
      <c r="A3" s="13" t="s">
        <v>6</v>
      </c>
      <c r="B3" s="13"/>
      <c r="C3" s="16">
        <v>0</v>
      </c>
      <c r="D3" s="17"/>
      <c r="E3" s="17" t="s">
        <v>7</v>
      </c>
      <c r="F3" s="3"/>
      <c r="G3" s="3"/>
      <c r="H3" s="3"/>
      <c r="I3" s="4"/>
      <c r="J3" s="13" t="s">
        <v>8</v>
      </c>
      <c r="K3" s="18">
        <f>(Q3+Q6)/2</f>
        <v>2418750</v>
      </c>
      <c r="L3" s="19">
        <v>873750</v>
      </c>
      <c r="M3" s="20">
        <v>873750</v>
      </c>
      <c r="N3" s="21">
        <f>K3/3</f>
        <v>806250</v>
      </c>
      <c r="O3" s="22">
        <v>2700000</v>
      </c>
      <c r="P3" s="23">
        <f t="shared" ref="P3:Q3" si="0">O6</f>
        <v>2621250</v>
      </c>
      <c r="Q3" s="23">
        <f t="shared" si="0"/>
        <v>2486250</v>
      </c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4.25" customHeight="1">
      <c r="A4" s="13" t="s">
        <v>9</v>
      </c>
      <c r="B4" s="16">
        <v>2000</v>
      </c>
      <c r="C4" s="19">
        <v>2023</v>
      </c>
      <c r="D4" s="19">
        <v>1686</v>
      </c>
      <c r="E4" s="19"/>
      <c r="F4" s="13"/>
      <c r="G4" s="19"/>
      <c r="H4" s="3"/>
      <c r="I4" s="4"/>
      <c r="J4" s="13" t="s">
        <v>10</v>
      </c>
      <c r="K4" s="19">
        <f>L4+M4+N4</f>
        <v>83373.375</v>
      </c>
      <c r="L4" s="18">
        <f t="shared" ref="L4:N4" si="1">L2*L3</f>
        <v>28833.75</v>
      </c>
      <c r="M4" s="18">
        <f t="shared" si="1"/>
        <v>28659.000000000004</v>
      </c>
      <c r="N4" s="21">
        <f t="shared" si="1"/>
        <v>25880.624999999996</v>
      </c>
      <c r="O4" s="2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4.25" customHeight="1">
      <c r="A5" s="3"/>
      <c r="B5" s="11">
        <f t="shared" ref="B5:D5" si="2">SUM(B2:B4)</f>
        <v>360559.27500000002</v>
      </c>
      <c r="C5" s="11">
        <f t="shared" si="2"/>
        <v>406722</v>
      </c>
      <c r="D5" s="11">
        <f t="shared" si="2"/>
        <v>423966</v>
      </c>
      <c r="E5" s="2" t="s">
        <v>11</v>
      </c>
      <c r="F5" s="25"/>
      <c r="G5" s="25"/>
      <c r="H5" s="3"/>
      <c r="I5" s="4"/>
      <c r="J5" s="13" t="s">
        <v>12</v>
      </c>
      <c r="K5" s="26">
        <v>135000</v>
      </c>
      <c r="L5" s="27">
        <v>20</v>
      </c>
      <c r="M5" s="28" t="s">
        <v>13</v>
      </c>
      <c r="N5" s="4"/>
      <c r="O5" s="29">
        <v>78750</v>
      </c>
      <c r="P5" s="30">
        <f>K5</f>
        <v>135000</v>
      </c>
      <c r="Q5" s="18">
        <f>K5</f>
        <v>135000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45.75" customHeight="1">
      <c r="A6" s="10" t="s">
        <v>14</v>
      </c>
      <c r="B6" s="10"/>
      <c r="C6" s="31"/>
      <c r="D6" s="25"/>
      <c r="E6" s="3"/>
      <c r="F6" s="3"/>
      <c r="G6" s="3"/>
      <c r="H6" s="3"/>
      <c r="I6" s="4"/>
      <c r="J6" s="32" t="s">
        <v>15</v>
      </c>
      <c r="K6" s="33">
        <f>SUM(K4:K5)</f>
        <v>218373.375</v>
      </c>
      <c r="L6" s="34"/>
      <c r="M6" s="35"/>
      <c r="N6" s="36"/>
      <c r="O6" s="37">
        <f t="shared" ref="O6:Q6" si="3">O3-O5</f>
        <v>2621250</v>
      </c>
      <c r="P6" s="38">
        <f t="shared" si="3"/>
        <v>2486250</v>
      </c>
      <c r="Q6" s="38">
        <f t="shared" si="3"/>
        <v>2351250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1.5" customHeight="1">
      <c r="A7" s="39" t="s">
        <v>16</v>
      </c>
      <c r="B7" s="16">
        <v>43750</v>
      </c>
      <c r="C7" s="16">
        <f>35000*1.25</f>
        <v>43750</v>
      </c>
      <c r="D7" s="19">
        <v>97563</v>
      </c>
      <c r="E7" s="17" t="s">
        <v>17</v>
      </c>
      <c r="F7" s="17" t="s">
        <v>18</v>
      </c>
      <c r="G7" s="17">
        <v>0</v>
      </c>
      <c r="H7" s="3"/>
      <c r="I7" s="3"/>
      <c r="J7" s="3"/>
      <c r="K7" s="3"/>
      <c r="L7" s="3"/>
      <c r="M7" s="3"/>
      <c r="N7" s="40"/>
      <c r="O7" s="41"/>
      <c r="P7" s="42"/>
      <c r="Q7" s="2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25" customHeight="1">
      <c r="A8" s="39" t="s">
        <v>19</v>
      </c>
      <c r="B8" s="16">
        <v>5000</v>
      </c>
      <c r="C8" s="19">
        <f>9770+299+12610.65+428.75+16239.27</f>
        <v>39347.67</v>
      </c>
      <c r="D8" s="19">
        <v>6457</v>
      </c>
      <c r="E8" s="17" t="s">
        <v>20</v>
      </c>
      <c r="F8" s="17" t="s">
        <v>21</v>
      </c>
      <c r="G8" s="17" t="s">
        <v>22</v>
      </c>
      <c r="H8" s="3"/>
      <c r="I8" s="3"/>
      <c r="J8" s="3"/>
      <c r="K8" s="3"/>
      <c r="L8" s="3"/>
      <c r="M8" s="3"/>
      <c r="N8" s="3"/>
      <c r="O8" s="9"/>
      <c r="P8" s="40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4.25" customHeight="1">
      <c r="A9" s="43" t="s">
        <v>23</v>
      </c>
      <c r="B9" s="16"/>
      <c r="C9" s="31"/>
      <c r="D9" s="25"/>
      <c r="E9" s="25"/>
      <c r="F9" s="25"/>
      <c r="G9" s="25"/>
      <c r="H9" s="3"/>
      <c r="I9" s="3"/>
      <c r="J9" s="3"/>
      <c r="K9" s="3"/>
      <c r="L9" s="3"/>
      <c r="M9" s="3"/>
      <c r="N9" s="3"/>
      <c r="O9" s="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4.25" customHeight="1">
      <c r="A10" s="39" t="s">
        <v>24</v>
      </c>
      <c r="B10" s="16">
        <f>'El &amp; Vatten förbr'!E23</f>
        <v>3713</v>
      </c>
      <c r="C10" s="16">
        <v>5262</v>
      </c>
      <c r="D10" s="19">
        <v>3937</v>
      </c>
      <c r="E10" s="17" t="s">
        <v>25</v>
      </c>
      <c r="F10" s="17" t="s">
        <v>26</v>
      </c>
      <c r="G10" s="17" t="s">
        <v>27</v>
      </c>
      <c r="H10" s="3"/>
      <c r="I10" s="3"/>
      <c r="J10" s="3" t="s">
        <v>28</v>
      </c>
      <c r="K10" s="3" t="s">
        <v>29</v>
      </c>
      <c r="L10" s="3" t="s">
        <v>30</v>
      </c>
      <c r="M10" s="3" t="s">
        <v>31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>
      <c r="A11" s="39" t="s">
        <v>32</v>
      </c>
      <c r="B11" s="16">
        <f>Basuppg!F15</f>
        <v>36502.9</v>
      </c>
      <c r="C11" s="16">
        <v>45906</v>
      </c>
      <c r="D11" s="19">
        <v>26362</v>
      </c>
      <c r="E11" s="17" t="s">
        <v>33</v>
      </c>
      <c r="F11" s="17" t="s">
        <v>34</v>
      </c>
      <c r="G11" s="17" t="s">
        <v>35</v>
      </c>
      <c r="H11" s="3"/>
      <c r="I11" s="3"/>
      <c r="J11" s="44">
        <f>M11/12/9</f>
        <v>3319.9932870370376</v>
      </c>
      <c r="K11" s="3">
        <v>9</v>
      </c>
      <c r="L11" s="3">
        <v>12</v>
      </c>
      <c r="M11" s="18">
        <f>B26</f>
        <v>358559.27500000002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25" customHeight="1">
      <c r="A12" s="39" t="s">
        <v>36</v>
      </c>
      <c r="B12" s="16">
        <f>Basuppg!F11</f>
        <v>21600</v>
      </c>
      <c r="C12" s="16">
        <v>11458</v>
      </c>
      <c r="D12" s="19">
        <v>21818</v>
      </c>
      <c r="E12" s="17" t="s">
        <v>37</v>
      </c>
      <c r="F12" s="17" t="s">
        <v>38</v>
      </c>
      <c r="G12" s="17" t="s">
        <v>39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3.25" customHeight="1">
      <c r="A13" s="43" t="s">
        <v>40</v>
      </c>
      <c r="B13" s="16"/>
      <c r="C13" s="31"/>
      <c r="D13" s="25"/>
      <c r="E13" s="25"/>
      <c r="F13" s="25"/>
      <c r="G13" s="2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25" customHeight="1">
      <c r="A14" s="39" t="s">
        <v>41</v>
      </c>
      <c r="B14" s="16">
        <v>8220</v>
      </c>
      <c r="C14" s="16">
        <f>4200+4020</f>
        <v>8220</v>
      </c>
      <c r="D14" s="19">
        <v>4020</v>
      </c>
      <c r="E14" s="17">
        <v>670</v>
      </c>
      <c r="F14" s="17" t="s">
        <v>42</v>
      </c>
      <c r="G14" s="17" t="s">
        <v>42</v>
      </c>
      <c r="H14" s="3"/>
      <c r="I14" s="3"/>
      <c r="J14" s="3" t="s">
        <v>43</v>
      </c>
      <c r="K14" s="3" t="s">
        <v>44</v>
      </c>
      <c r="L14" s="3" t="s">
        <v>45</v>
      </c>
      <c r="M14" s="3" t="s">
        <v>46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7.25" customHeight="1">
      <c r="A15" s="39" t="s">
        <v>47</v>
      </c>
      <c r="B15" s="16">
        <v>20000</v>
      </c>
      <c r="C15" s="16">
        <f>49444.6+2590</f>
        <v>52034.6</v>
      </c>
      <c r="D15" s="19">
        <f>15183</f>
        <v>15183</v>
      </c>
      <c r="E15" s="17" t="s">
        <v>48</v>
      </c>
      <c r="F15" s="17" t="s">
        <v>49</v>
      </c>
      <c r="G15" s="17">
        <v>0</v>
      </c>
      <c r="H15" s="3"/>
      <c r="I15" s="3"/>
      <c r="J15" s="3" t="s">
        <v>50</v>
      </c>
      <c r="K15" s="45">
        <v>3.5</v>
      </c>
      <c r="L15" s="3">
        <v>3.26</v>
      </c>
      <c r="M15" s="3">
        <v>3.21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customHeight="1">
      <c r="A16" s="39" t="s">
        <v>51</v>
      </c>
      <c r="B16" s="16">
        <v>0</v>
      </c>
      <c r="C16" s="16">
        <v>0</v>
      </c>
      <c r="D16" s="19">
        <v>0</v>
      </c>
      <c r="E16" s="17" t="s">
        <v>52</v>
      </c>
      <c r="F16" s="17">
        <v>0</v>
      </c>
      <c r="G16" s="17" t="s">
        <v>53</v>
      </c>
      <c r="H16" s="3"/>
      <c r="I16" s="3"/>
      <c r="J16" s="3" t="s">
        <v>54</v>
      </c>
      <c r="K16" s="46">
        <v>3.07</v>
      </c>
      <c r="L16" s="3">
        <v>3.11</v>
      </c>
      <c r="M16" s="3">
        <v>3.07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customHeight="1">
      <c r="A17" s="39" t="s">
        <v>55</v>
      </c>
      <c r="B17" s="16">
        <v>1400</v>
      </c>
      <c r="C17" s="31">
        <v>1365</v>
      </c>
      <c r="D17" s="18">
        <v>0</v>
      </c>
      <c r="E17" s="17" t="s">
        <v>56</v>
      </c>
      <c r="F17" s="17" t="s">
        <v>57</v>
      </c>
      <c r="G17" s="17">
        <v>900</v>
      </c>
      <c r="H17" s="3"/>
      <c r="I17" s="3"/>
      <c r="J17" s="3" t="s">
        <v>58</v>
      </c>
      <c r="K17" s="3">
        <v>4.04</v>
      </c>
      <c r="L17" s="3">
        <v>3.69</v>
      </c>
      <c r="M17" s="3">
        <v>3.49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25" customHeight="1">
      <c r="A18" s="25" t="s">
        <v>59</v>
      </c>
      <c r="B18" s="16">
        <v>135000</v>
      </c>
      <c r="C18" s="31">
        <v>135000</v>
      </c>
      <c r="D18" s="18">
        <v>78750</v>
      </c>
      <c r="E18" s="17"/>
      <c r="F18" s="25"/>
      <c r="G18" s="2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25" customHeight="1">
      <c r="A19" s="47" t="s">
        <v>60</v>
      </c>
      <c r="B19" s="48"/>
      <c r="C19" s="49">
        <v>2861</v>
      </c>
      <c r="D19" s="50"/>
      <c r="E19" s="51">
        <v>1546</v>
      </c>
      <c r="F19" s="51" t="s">
        <v>61</v>
      </c>
      <c r="G19" s="5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4.25" customHeight="1">
      <c r="A20" s="25"/>
      <c r="B20" s="52">
        <f t="shared" ref="B20:D20" si="4">SUM(B7:B19)</f>
        <v>275185.90000000002</v>
      </c>
      <c r="C20" s="16">
        <f t="shared" si="4"/>
        <v>345204.27</v>
      </c>
      <c r="D20" s="16">
        <f t="shared" si="4"/>
        <v>254090</v>
      </c>
      <c r="E20" s="17" t="s">
        <v>62</v>
      </c>
      <c r="F20" s="17" t="s">
        <v>63</v>
      </c>
      <c r="G20" s="17" t="s">
        <v>64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25" customHeight="1">
      <c r="A21" s="53" t="s">
        <v>65</v>
      </c>
      <c r="B21" s="16"/>
      <c r="C21" s="54">
        <v>0</v>
      </c>
      <c r="D21" s="55">
        <v>0</v>
      </c>
      <c r="E21" s="17" t="s">
        <v>66</v>
      </c>
      <c r="F21" s="17" t="s">
        <v>67</v>
      </c>
      <c r="G21" s="17" t="s">
        <v>68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>
      <c r="A22" s="56" t="s">
        <v>69</v>
      </c>
      <c r="B22" s="16"/>
      <c r="C22" s="57"/>
      <c r="D22" s="5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25" customHeight="1">
      <c r="A23" s="58" t="s">
        <v>70</v>
      </c>
      <c r="B23" s="48">
        <f>K4</f>
        <v>83373.375</v>
      </c>
      <c r="C23" s="59">
        <v>87037</v>
      </c>
      <c r="D23" s="59">
        <v>66997</v>
      </c>
      <c r="E23" s="60"/>
      <c r="F23" s="61"/>
      <c r="G23" s="6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25" customHeight="1">
      <c r="A24" s="62"/>
      <c r="B24" s="52"/>
      <c r="C24" s="63"/>
      <c r="D24" s="64"/>
      <c r="E24" s="13"/>
      <c r="F24" s="3"/>
      <c r="G24" s="3"/>
      <c r="H24" s="3"/>
      <c r="I24" s="3"/>
      <c r="J24" s="3" t="s">
        <v>71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25" customHeight="1">
      <c r="A25" s="3" t="s">
        <v>72</v>
      </c>
      <c r="B25" s="16">
        <v>0</v>
      </c>
      <c r="C25" s="18">
        <v>50000</v>
      </c>
      <c r="D25" s="18">
        <v>150000</v>
      </c>
      <c r="E25" s="13"/>
      <c r="F25" s="3"/>
      <c r="G25" s="3"/>
      <c r="H25" s="3"/>
      <c r="I25" s="3"/>
      <c r="J25" s="65" t="s">
        <v>73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>
      <c r="A26" s="66" t="s">
        <v>74</v>
      </c>
      <c r="B26" s="67">
        <f t="shared" ref="B26:D26" si="5">SUM(B20:B25)</f>
        <v>358559.27500000002</v>
      </c>
      <c r="C26" s="67">
        <f t="shared" si="5"/>
        <v>482241.27</v>
      </c>
      <c r="D26" s="67">
        <f t="shared" si="5"/>
        <v>471087</v>
      </c>
      <c r="E26" s="60" t="s">
        <v>75</v>
      </c>
      <c r="F26" s="61" t="s">
        <v>76</v>
      </c>
      <c r="G26" s="61" t="s">
        <v>77</v>
      </c>
      <c r="H26" s="3"/>
      <c r="I26" s="3"/>
      <c r="J26" s="3">
        <f>101686+100000+17300+32700</f>
        <v>251686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8" customHeight="1">
      <c r="A27" s="13" t="s">
        <v>78</v>
      </c>
      <c r="B27" s="19">
        <f t="shared" ref="B27:D27" si="6">B5-B26</f>
        <v>2000</v>
      </c>
      <c r="C27" s="19">
        <f t="shared" si="6"/>
        <v>-75519.270000000019</v>
      </c>
      <c r="D27" s="19">
        <f t="shared" si="6"/>
        <v>-47121</v>
      </c>
      <c r="E27" s="19">
        <v>36441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4" customHeight="1">
      <c r="A28" s="13" t="s">
        <v>79</v>
      </c>
      <c r="B28" s="13">
        <f>1550*2*12</f>
        <v>37200</v>
      </c>
      <c r="C28" s="19">
        <f>1450*2*12</f>
        <v>34800</v>
      </c>
      <c r="D28" s="29">
        <v>32700</v>
      </c>
      <c r="E28" s="29">
        <v>23040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25" customHeight="1">
      <c r="A29" s="68" t="s">
        <v>80</v>
      </c>
      <c r="B29" s="68"/>
      <c r="C29" s="69"/>
      <c r="D29" s="70">
        <v>0</v>
      </c>
      <c r="E29" s="71" t="s">
        <v>81</v>
      </c>
      <c r="F29" s="72"/>
      <c r="G29" s="7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25" customHeight="1">
      <c r="A30" s="40"/>
      <c r="B30" s="63">
        <f t="shared" ref="B30:E30" si="7">B27+B28</f>
        <v>39200</v>
      </c>
      <c r="C30" s="63">
        <f t="shared" si="7"/>
        <v>-40719.270000000019</v>
      </c>
      <c r="D30" s="63">
        <f t="shared" si="7"/>
        <v>-14421</v>
      </c>
      <c r="E30" s="63">
        <f t="shared" si="7"/>
        <v>59481</v>
      </c>
      <c r="F30" s="40"/>
      <c r="G30" s="4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>
      <c r="A31" s="3"/>
      <c r="B31" s="7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"/>
      <c r="B32" s="3"/>
      <c r="C32" s="1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25" customHeight="1">
      <c r="A33" s="74" t="s">
        <v>82</v>
      </c>
      <c r="B33" s="74"/>
      <c r="C33" s="1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25" customHeight="1">
      <c r="A34" s="13" t="s">
        <v>83</v>
      </c>
      <c r="B34" s="13"/>
      <c r="C34" s="18">
        <f>44582.68+683.73</f>
        <v>45266.41</v>
      </c>
      <c r="D34" s="18">
        <f>102936+100000</f>
        <v>202936</v>
      </c>
      <c r="E34" s="17" t="s">
        <v>84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13" t="s">
        <v>85</v>
      </c>
      <c r="B35" s="75">
        <f>C35+B25+B28</f>
        <v>290909</v>
      </c>
      <c r="C35" s="18">
        <f>100000+103243+50466</f>
        <v>253709</v>
      </c>
      <c r="D35" s="18">
        <f>201686-100000</f>
        <v>101686</v>
      </c>
      <c r="E35" s="17" t="s">
        <v>86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4.25" customHeight="1">
      <c r="A36" s="3"/>
      <c r="B36" s="3"/>
      <c r="C36" s="18"/>
      <c r="D36" s="18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25" customHeight="1">
      <c r="A37" s="13" t="s">
        <v>87</v>
      </c>
      <c r="B37" s="75">
        <f>C37-Q5</f>
        <v>2351250</v>
      </c>
      <c r="C37" s="18">
        <f>D37-K5</f>
        <v>2486250</v>
      </c>
      <c r="D37" s="18">
        <v>2621250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25" customHeight="1">
      <c r="A38" s="72"/>
      <c r="B38" s="72"/>
      <c r="C38" s="69"/>
      <c r="D38" s="76"/>
      <c r="E38" s="72"/>
      <c r="F38" s="72"/>
      <c r="G38" s="7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25" customHeight="1">
      <c r="A39" s="13" t="s">
        <v>88</v>
      </c>
      <c r="B39" s="19">
        <f t="shared" ref="B39:D39" si="8">SUM(B34:B38)</f>
        <v>2642159</v>
      </c>
      <c r="C39" s="19">
        <f t="shared" si="8"/>
        <v>2785225.41</v>
      </c>
      <c r="D39" s="19">
        <f t="shared" si="8"/>
        <v>2925872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"/>
      <c r="B40" s="3"/>
      <c r="C40" s="1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25" customHeight="1">
      <c r="A41" s="3"/>
      <c r="B41" s="3"/>
      <c r="C41" s="1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25" customHeight="1">
      <c r="A42" s="74" t="s">
        <v>89</v>
      </c>
      <c r="B42" s="74"/>
      <c r="C42" s="1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25" customHeight="1">
      <c r="A43" s="13" t="s">
        <v>90</v>
      </c>
      <c r="B43" s="77">
        <f>Q6</f>
        <v>2351250</v>
      </c>
      <c r="C43" s="18">
        <f>P6</f>
        <v>2486250</v>
      </c>
      <c r="D43" s="18">
        <v>2621250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25" customHeight="1">
      <c r="A44" s="13" t="s">
        <v>91</v>
      </c>
      <c r="B44" s="18">
        <f t="shared" ref="B44:C44" si="9">B39-B43</f>
        <v>290909</v>
      </c>
      <c r="C44" s="18">
        <f t="shared" si="9"/>
        <v>298975.41000000015</v>
      </c>
      <c r="D44" s="18">
        <v>304622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25" customHeight="1">
      <c r="A45" s="72"/>
      <c r="B45" s="72"/>
      <c r="C45" s="69"/>
      <c r="D45" s="72"/>
      <c r="E45" s="72"/>
      <c r="F45" s="72"/>
      <c r="G45" s="7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25" customHeight="1">
      <c r="A46" s="13" t="s">
        <v>92</v>
      </c>
      <c r="B46" s="19">
        <f t="shared" ref="B46:D46" si="10">SUM(B43:B45)</f>
        <v>2642159</v>
      </c>
      <c r="C46" s="19">
        <f t="shared" si="10"/>
        <v>2785225.41</v>
      </c>
      <c r="D46" s="19">
        <f t="shared" si="10"/>
        <v>2925872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4.25" customHeight="1"/>
    <row r="248" spans="1:27" ht="14.25" customHeight="1"/>
    <row r="249" spans="1:27" ht="14.25" customHeight="1"/>
    <row r="250" spans="1:27" ht="14.25" customHeight="1"/>
    <row r="251" spans="1:27" ht="14.25" customHeight="1"/>
    <row r="252" spans="1:27" ht="14.25" customHeight="1"/>
    <row r="253" spans="1:27" ht="14.25" customHeight="1"/>
    <row r="254" spans="1:27" ht="14.25" customHeight="1"/>
    <row r="255" spans="1:27" ht="14.25" customHeight="1"/>
    <row r="256" spans="1:27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98"/>
  <sheetViews>
    <sheetView workbookViewId="0">
      <selection activeCell="B37" sqref="B37"/>
    </sheetView>
  </sheetViews>
  <sheetFormatPr defaultColWidth="12.625" defaultRowHeight="15" customHeight="1"/>
  <cols>
    <col min="1" max="1" width="18.5" customWidth="1"/>
    <col min="2" max="2" width="25.875" customWidth="1"/>
    <col min="3" max="3" width="10.5" customWidth="1"/>
    <col min="4" max="4" width="13.125" customWidth="1"/>
    <col min="5" max="5" width="13.875" customWidth="1"/>
    <col min="6" max="6" width="16" customWidth="1"/>
    <col min="7" max="7" width="23.375" customWidth="1"/>
    <col min="8" max="8" width="16.5" customWidth="1"/>
    <col min="9" max="11" width="8.625" customWidth="1"/>
    <col min="12" max="12" width="10.5" customWidth="1"/>
    <col min="13" max="26" width="8.625" customWidth="1"/>
  </cols>
  <sheetData>
    <row r="1" spans="1:13" ht="14.25" customHeight="1">
      <c r="A1" s="78" t="s">
        <v>93</v>
      </c>
    </row>
    <row r="2" spans="1:13" ht="14.25" customHeight="1">
      <c r="A2" s="79" t="s">
        <v>94</v>
      </c>
      <c r="B2" s="80"/>
      <c r="C2" s="80"/>
      <c r="D2" s="80"/>
      <c r="E2" s="81" t="s">
        <v>95</v>
      </c>
      <c r="F2" s="80"/>
      <c r="G2" s="82"/>
      <c r="H2" s="83" t="s">
        <v>96</v>
      </c>
    </row>
    <row r="3" spans="1:13" ht="14.25" customHeight="1">
      <c r="A3" s="84" t="s">
        <v>97</v>
      </c>
      <c r="B3" s="85" t="s">
        <v>97</v>
      </c>
      <c r="C3" s="85" t="s">
        <v>98</v>
      </c>
      <c r="D3" s="85" t="s">
        <v>99</v>
      </c>
      <c r="E3" s="86" t="s">
        <v>100</v>
      </c>
      <c r="F3" s="86" t="s">
        <v>101</v>
      </c>
      <c r="G3" s="87" t="s">
        <v>102</v>
      </c>
      <c r="H3" s="88">
        <f>Budget!C35</f>
        <v>253709</v>
      </c>
    </row>
    <row r="4" spans="1:13" ht="14.25" customHeight="1">
      <c r="A4" s="89"/>
      <c r="B4" s="90" t="s">
        <v>103</v>
      </c>
      <c r="C4" s="91">
        <v>5</v>
      </c>
      <c r="D4" s="92">
        <v>2025</v>
      </c>
      <c r="E4" s="93">
        <v>5000</v>
      </c>
      <c r="F4" s="94">
        <f t="shared" ref="F4:F6" si="0">SUM(E4/C4)</f>
        <v>1000</v>
      </c>
      <c r="G4" s="95"/>
      <c r="H4" s="96"/>
      <c r="I4" s="97"/>
      <c r="J4" s="98"/>
      <c r="K4" s="93"/>
      <c r="L4" s="99"/>
      <c r="M4" s="88"/>
    </row>
    <row r="5" spans="1:13" ht="14.25" customHeight="1">
      <c r="A5" s="89"/>
      <c r="B5" s="100" t="s">
        <v>104</v>
      </c>
      <c r="C5" s="96">
        <v>10</v>
      </c>
      <c r="D5" s="97">
        <v>2025</v>
      </c>
      <c r="E5" s="98">
        <v>20000</v>
      </c>
      <c r="F5" s="94">
        <f t="shared" si="0"/>
        <v>2000</v>
      </c>
      <c r="G5" s="95"/>
      <c r="H5" s="96"/>
      <c r="I5" s="97"/>
      <c r="J5" s="98"/>
      <c r="K5" s="93"/>
      <c r="L5" s="99"/>
      <c r="M5" s="88"/>
    </row>
    <row r="6" spans="1:13" ht="14.25" customHeight="1">
      <c r="A6" s="89"/>
      <c r="B6" s="100" t="s">
        <v>105</v>
      </c>
      <c r="C6" s="91">
        <v>10</v>
      </c>
      <c r="D6" s="92">
        <v>2031</v>
      </c>
      <c r="E6" s="93">
        <v>400000</v>
      </c>
      <c r="F6" s="94">
        <f t="shared" si="0"/>
        <v>40000</v>
      </c>
      <c r="G6" s="99"/>
      <c r="H6" s="88"/>
    </row>
    <row r="7" spans="1:13" ht="14.25" customHeight="1">
      <c r="A7" s="101" t="s">
        <v>106</v>
      </c>
      <c r="B7" s="99" t="s">
        <v>107</v>
      </c>
      <c r="C7" s="91">
        <v>10</v>
      </c>
      <c r="D7" s="92">
        <v>2032</v>
      </c>
      <c r="E7" s="93">
        <v>10000</v>
      </c>
      <c r="F7" s="94">
        <f>E7/C7</f>
        <v>1000</v>
      </c>
    </row>
    <row r="8" spans="1:13" ht="14.25" customHeight="1">
      <c r="A8" s="89"/>
      <c r="B8" s="100" t="s">
        <v>108</v>
      </c>
      <c r="C8" s="91">
        <v>20</v>
      </c>
      <c r="D8" s="92">
        <v>2033</v>
      </c>
      <c r="E8" s="93">
        <v>20000</v>
      </c>
      <c r="F8" s="94">
        <f t="shared" ref="F8:F11" si="1">SUM(E8/C8)</f>
        <v>1000</v>
      </c>
      <c r="G8" s="99"/>
      <c r="H8" s="88"/>
    </row>
    <row r="9" spans="1:13" ht="14.25" customHeight="1">
      <c r="A9" s="89"/>
      <c r="B9" s="100" t="s">
        <v>109</v>
      </c>
      <c r="C9" s="96">
        <v>20</v>
      </c>
      <c r="D9" s="97">
        <v>2035</v>
      </c>
      <c r="E9" s="98">
        <v>20000</v>
      </c>
      <c r="F9" s="94">
        <f t="shared" si="1"/>
        <v>1000</v>
      </c>
      <c r="G9" s="99" t="s">
        <v>110</v>
      </c>
      <c r="H9" s="102">
        <v>33000</v>
      </c>
    </row>
    <row r="10" spans="1:13" ht="14.25" customHeight="1">
      <c r="A10" s="89"/>
      <c r="B10" s="100" t="s">
        <v>111</v>
      </c>
      <c r="C10" s="96">
        <v>25</v>
      </c>
      <c r="D10" s="97">
        <v>2060</v>
      </c>
      <c r="E10" s="98">
        <v>50000</v>
      </c>
      <c r="F10" s="94">
        <f t="shared" si="1"/>
        <v>2000</v>
      </c>
      <c r="G10" s="99" t="s">
        <v>112</v>
      </c>
      <c r="H10" s="102">
        <f>Budget!C28</f>
        <v>34800</v>
      </c>
    </row>
    <row r="11" spans="1:13" ht="14.25" customHeight="1">
      <c r="A11" s="89"/>
      <c r="B11" s="100" t="s">
        <v>113</v>
      </c>
      <c r="C11" s="91">
        <v>40</v>
      </c>
      <c r="D11" s="92">
        <v>2065</v>
      </c>
      <c r="E11" s="93">
        <v>500000</v>
      </c>
      <c r="F11" s="94">
        <f t="shared" si="1"/>
        <v>12500</v>
      </c>
      <c r="G11" s="99" t="s">
        <v>114</v>
      </c>
    </row>
    <row r="12" spans="1:13" ht="14.25" customHeight="1">
      <c r="A12" s="89"/>
      <c r="B12" s="243" t="s">
        <v>318</v>
      </c>
      <c r="C12" s="91">
        <v>40</v>
      </c>
      <c r="D12" s="92">
        <v>2065</v>
      </c>
      <c r="E12" s="93">
        <v>2000000</v>
      </c>
      <c r="F12" s="94">
        <v>0</v>
      </c>
      <c r="G12" s="103" t="s">
        <v>115</v>
      </c>
      <c r="H12" s="104">
        <f>H3+H9+H10-H11</f>
        <v>321509</v>
      </c>
    </row>
    <row r="13" spans="1:13" ht="14.25" customHeight="1">
      <c r="A13" s="89"/>
      <c r="B13" s="100" t="s">
        <v>116</v>
      </c>
      <c r="C13" s="96">
        <v>50</v>
      </c>
      <c r="D13" s="97">
        <v>2070</v>
      </c>
      <c r="E13" s="98">
        <v>150000</v>
      </c>
      <c r="F13" s="94">
        <f t="shared" ref="F13:F14" si="2">SUM(E13/C13)</f>
        <v>3000</v>
      </c>
    </row>
    <row r="14" spans="1:13" ht="14.25" customHeight="1" thickBot="1">
      <c r="A14" s="105"/>
      <c r="B14" s="240" t="s">
        <v>319</v>
      </c>
      <c r="C14" s="106">
        <v>50</v>
      </c>
      <c r="D14" s="97">
        <v>2070</v>
      </c>
      <c r="E14" s="107">
        <v>0</v>
      </c>
      <c r="F14" s="108">
        <f t="shared" si="2"/>
        <v>0</v>
      </c>
    </row>
    <row r="15" spans="1:13" ht="15.75" customHeight="1" thickTop="1" thickBot="1">
      <c r="A15" s="242"/>
      <c r="B15" s="109"/>
      <c r="C15" s="110"/>
      <c r="D15" s="109"/>
      <c r="E15" s="110"/>
      <c r="F15" s="89"/>
    </row>
    <row r="16" spans="1:13" ht="14.25" customHeight="1" thickTop="1" thickBot="1">
      <c r="A16" s="244" t="s">
        <v>320</v>
      </c>
      <c r="B16" s="112"/>
      <c r="C16" s="111"/>
      <c r="D16" s="112"/>
      <c r="E16" s="113" t="s">
        <v>101</v>
      </c>
      <c r="F16" s="114">
        <f>SUM(F4:F14)</f>
        <v>63500</v>
      </c>
    </row>
    <row r="17" spans="1:8" ht="14.25" customHeight="1" thickTop="1" thickBot="1">
      <c r="A17" s="241" t="s">
        <v>321</v>
      </c>
      <c r="B17" s="112"/>
      <c r="C17" s="116"/>
      <c r="D17" s="112"/>
      <c r="E17" s="117"/>
      <c r="F17" s="118"/>
      <c r="H17" s="102"/>
    </row>
    <row r="18" spans="1:8" ht="14.25" customHeight="1" thickTop="1" thickBot="1">
      <c r="C18" s="116"/>
      <c r="D18" s="112"/>
      <c r="E18" s="118" t="s">
        <v>117</v>
      </c>
      <c r="F18" s="119">
        <f>H9+H10</f>
        <v>67800</v>
      </c>
      <c r="H18" s="102"/>
    </row>
    <row r="19" spans="1:8" ht="14.25" customHeight="1" thickTop="1">
      <c r="A19" s="115"/>
      <c r="B19" s="95"/>
      <c r="C19" s="120"/>
      <c r="D19" s="112"/>
      <c r="E19" s="121" t="s">
        <v>118</v>
      </c>
      <c r="F19" s="122">
        <f>-F16+F18</f>
        <v>4300</v>
      </c>
    </row>
    <row r="20" spans="1:8" ht="14.25" customHeight="1">
      <c r="A20" s="112"/>
      <c r="B20" s="112"/>
      <c r="C20" s="112"/>
      <c r="D20" s="112"/>
      <c r="E20" s="112"/>
      <c r="F20" s="112"/>
    </row>
    <row r="21" spans="1:8" ht="14.25" customHeight="1">
      <c r="B21" s="245" t="s">
        <v>322</v>
      </c>
    </row>
    <row r="22" spans="1:8" ht="14.25" customHeight="1">
      <c r="B22" s="46" t="s">
        <v>119</v>
      </c>
      <c r="E22" s="123">
        <v>5000</v>
      </c>
      <c r="F22" s="124" t="s">
        <v>120</v>
      </c>
    </row>
    <row r="23" spans="1:8" ht="14.25" customHeight="1">
      <c r="A23" s="125"/>
      <c r="B23" s="126" t="s">
        <v>121</v>
      </c>
      <c r="C23" s="127" t="s">
        <v>122</v>
      </c>
      <c r="D23" s="125"/>
      <c r="E23" s="123">
        <v>5000</v>
      </c>
      <c r="F23" s="124" t="s">
        <v>123</v>
      </c>
    </row>
    <row r="24" spans="1:8" ht="14.25" customHeight="1" thickBot="1">
      <c r="B24" s="124" t="s">
        <v>124</v>
      </c>
      <c r="E24" s="128">
        <v>10000</v>
      </c>
    </row>
    <row r="25" spans="1:8" ht="14.25" customHeight="1" thickTop="1">
      <c r="E25" s="129">
        <f>SUM(E22:E24)</f>
        <v>20000</v>
      </c>
    </row>
    <row r="26" spans="1:8" ht="14.25" customHeight="1">
      <c r="B26" s="245" t="s">
        <v>323</v>
      </c>
      <c r="E26" s="123"/>
    </row>
    <row r="27" spans="1:8" ht="14.25" customHeight="1" thickBot="1">
      <c r="B27" s="124" t="s">
        <v>125</v>
      </c>
      <c r="E27" s="128">
        <v>15000</v>
      </c>
    </row>
    <row r="28" spans="1:8" ht="14.25" customHeight="1">
      <c r="E28" s="130">
        <f>SUM(E25:E27)</f>
        <v>35000</v>
      </c>
    </row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autoFilter ref="A3:F3" xr:uid="{00000000-0009-0000-0000-000001000000}">
    <sortState xmlns:xlrd2="http://schemas.microsoft.com/office/spreadsheetml/2017/richdata2" ref="A3:F3">
      <sortCondition ref="D3"/>
    </sortState>
  </autoFilter>
  <pageMargins left="0.7" right="0.7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topLeftCell="A4" workbookViewId="0"/>
  </sheetViews>
  <sheetFormatPr defaultColWidth="12.625" defaultRowHeight="15" customHeight="1"/>
  <cols>
    <col min="1" max="1" width="28" customWidth="1"/>
    <col min="2" max="2" width="22.5" customWidth="1"/>
    <col min="3" max="3" width="28.375" customWidth="1"/>
    <col min="4" max="4" width="24.125" customWidth="1"/>
    <col min="5" max="5" width="9.125" customWidth="1"/>
    <col min="6" max="7" width="28.375" customWidth="1"/>
    <col min="8" max="8" width="24.125" customWidth="1"/>
    <col min="9" max="9" width="28.375" customWidth="1"/>
    <col min="10" max="10" width="17.75" customWidth="1"/>
    <col min="11" max="11" width="19.75" customWidth="1"/>
    <col min="12" max="12" width="21.375" customWidth="1"/>
    <col min="13" max="26" width="12.5" customWidth="1"/>
  </cols>
  <sheetData>
    <row r="1" spans="1:12" ht="14.25" customHeight="1">
      <c r="A1" s="131" t="s">
        <v>126</v>
      </c>
      <c r="B1" s="132"/>
      <c r="C1" s="132"/>
      <c r="D1" s="132"/>
      <c r="F1" s="133" t="s">
        <v>127</v>
      </c>
    </row>
    <row r="2" spans="1:12" ht="14.25" customHeight="1">
      <c r="A2" s="132"/>
      <c r="B2" s="132"/>
      <c r="C2" s="132"/>
      <c r="D2" s="132"/>
      <c r="E2" s="134"/>
      <c r="F2" s="135"/>
      <c r="H2" s="134"/>
      <c r="I2" s="134"/>
      <c r="J2" s="134"/>
      <c r="K2" s="134"/>
      <c r="L2" s="134"/>
    </row>
    <row r="3" spans="1:12" ht="14.25" customHeight="1">
      <c r="A3" s="132"/>
      <c r="B3" s="132"/>
      <c r="C3" s="132"/>
      <c r="D3" s="132"/>
      <c r="F3" s="136" t="s">
        <v>128</v>
      </c>
      <c r="G3" s="132">
        <v>422280</v>
      </c>
    </row>
    <row r="4" spans="1:12" ht="14.25" customHeight="1">
      <c r="A4" s="131" t="s">
        <v>129</v>
      </c>
      <c r="B4" s="132"/>
      <c r="C4" s="131" t="s">
        <v>130</v>
      </c>
      <c r="D4" s="132"/>
      <c r="E4" s="137"/>
      <c r="F4" s="138" t="s">
        <v>131</v>
      </c>
      <c r="G4" s="132">
        <v>32700</v>
      </c>
    </row>
    <row r="5" spans="1:12" ht="14.25" customHeight="1">
      <c r="A5" s="132"/>
      <c r="B5" s="132"/>
      <c r="C5" s="132"/>
      <c r="D5" s="132"/>
      <c r="F5" s="135" t="s">
        <v>132</v>
      </c>
      <c r="G5" s="132">
        <v>1686</v>
      </c>
    </row>
    <row r="6" spans="1:12" ht="14.25" customHeight="1">
      <c r="A6" s="132" t="s">
        <v>133</v>
      </c>
      <c r="B6" s="132">
        <v>102936</v>
      </c>
      <c r="C6" s="132" t="s">
        <v>134</v>
      </c>
      <c r="D6" s="132">
        <v>2621250</v>
      </c>
      <c r="F6" s="135" t="s">
        <v>135</v>
      </c>
      <c r="G6" s="139">
        <f>SUM(G3:G5)</f>
        <v>456666</v>
      </c>
    </row>
    <row r="7" spans="1:12" ht="14.25" customHeight="1">
      <c r="A7" s="132"/>
      <c r="B7" s="132"/>
      <c r="C7" s="132"/>
      <c r="D7" s="132"/>
      <c r="F7" s="135"/>
      <c r="G7" s="139"/>
    </row>
    <row r="8" spans="1:12" ht="14.25" customHeight="1">
      <c r="A8" s="132" t="s">
        <v>136</v>
      </c>
      <c r="B8" s="132">
        <v>201686</v>
      </c>
      <c r="C8" s="132" t="s">
        <v>137</v>
      </c>
      <c r="D8" s="132">
        <f>B13-D6</f>
        <v>304622</v>
      </c>
      <c r="F8" s="133" t="s">
        <v>14</v>
      </c>
      <c r="G8" s="132"/>
    </row>
    <row r="9" spans="1:12" ht="14.25" customHeight="1">
      <c r="A9" s="132"/>
      <c r="B9" s="132"/>
      <c r="C9" s="132"/>
      <c r="D9" s="132"/>
      <c r="F9" s="135" t="s">
        <v>16</v>
      </c>
      <c r="G9" s="132">
        <v>97563</v>
      </c>
    </row>
    <row r="10" spans="1:12" ht="14.25" customHeight="1">
      <c r="A10" s="132" t="s">
        <v>138</v>
      </c>
      <c r="B10" s="132">
        <v>2621250</v>
      </c>
      <c r="C10" s="132"/>
      <c r="D10" s="132"/>
      <c r="F10" s="140" t="s">
        <v>23</v>
      </c>
      <c r="G10" s="132"/>
      <c r="I10" s="137"/>
      <c r="J10" s="137"/>
      <c r="K10" s="137"/>
    </row>
    <row r="11" spans="1:12" ht="14.25" customHeight="1">
      <c r="A11" s="132"/>
      <c r="B11" s="132"/>
      <c r="C11" s="132"/>
      <c r="D11" s="132"/>
      <c r="F11" s="135" t="s">
        <v>24</v>
      </c>
      <c r="G11" s="132">
        <v>3937</v>
      </c>
    </row>
    <row r="12" spans="1:12" ht="14.25" customHeight="1">
      <c r="A12" s="132"/>
      <c r="B12" s="132"/>
      <c r="C12" s="132"/>
      <c r="D12" s="132"/>
      <c r="F12" s="135" t="s">
        <v>32</v>
      </c>
      <c r="G12" s="132">
        <v>26362</v>
      </c>
    </row>
    <row r="13" spans="1:12" ht="14.25" customHeight="1">
      <c r="A13" s="132" t="s">
        <v>139</v>
      </c>
      <c r="B13" s="132">
        <f>SUM(B4:B12)</f>
        <v>2925872</v>
      </c>
      <c r="C13" s="132"/>
      <c r="D13" s="132">
        <f>SUM(D6:D12)</f>
        <v>2925872</v>
      </c>
      <c r="F13" s="135" t="s">
        <v>36</v>
      </c>
      <c r="G13" s="132">
        <v>21818</v>
      </c>
    </row>
    <row r="14" spans="1:12" ht="14.25" customHeight="1">
      <c r="F14" s="140" t="s">
        <v>40</v>
      </c>
      <c r="G14" s="132"/>
      <c r="H14" s="141"/>
    </row>
    <row r="15" spans="1:12" ht="14.25" customHeight="1">
      <c r="F15" s="135" t="s">
        <v>41</v>
      </c>
      <c r="G15" s="132">
        <v>4020</v>
      </c>
    </row>
    <row r="16" spans="1:12" ht="14.25" customHeight="1">
      <c r="F16" s="135" t="s">
        <v>140</v>
      </c>
      <c r="G16" s="132">
        <v>6457</v>
      </c>
    </row>
    <row r="17" spans="4:12" ht="14.25" customHeight="1">
      <c r="F17" s="135" t="s">
        <v>141</v>
      </c>
      <c r="G17" s="132">
        <v>15183</v>
      </c>
    </row>
    <row r="18" spans="4:12" ht="14.25" customHeight="1">
      <c r="F18" s="135"/>
    </row>
    <row r="19" spans="4:12" ht="14.25" customHeight="1">
      <c r="F19" s="133" t="s">
        <v>142</v>
      </c>
      <c r="G19" s="131">
        <f>G6-(SUM(G9:G17))</f>
        <v>281326</v>
      </c>
      <c r="L19" s="137"/>
    </row>
    <row r="20" spans="4:12" ht="14.25" customHeight="1">
      <c r="F20" s="135" t="s">
        <v>143</v>
      </c>
      <c r="G20" s="132">
        <v>66997</v>
      </c>
    </row>
    <row r="21" spans="4:12" ht="14.25" customHeight="1">
      <c r="D21" s="134"/>
      <c r="E21" s="134"/>
      <c r="F21" s="135" t="s">
        <v>144</v>
      </c>
      <c r="G21" s="142">
        <v>78750</v>
      </c>
      <c r="H21" s="134"/>
      <c r="I21" s="134"/>
      <c r="J21" s="134"/>
      <c r="K21" s="134"/>
      <c r="L21" s="134"/>
    </row>
    <row r="22" spans="4:12" ht="14.25" customHeight="1">
      <c r="F22" s="135"/>
      <c r="H22" s="141"/>
      <c r="I22" s="141"/>
      <c r="J22" s="141"/>
      <c r="K22" s="141"/>
      <c r="L22" s="141"/>
    </row>
    <row r="23" spans="4:12" ht="14.25" customHeight="1">
      <c r="D23" s="141"/>
      <c r="F23" s="135"/>
    </row>
    <row r="24" spans="4:12" ht="14.25" customHeight="1">
      <c r="E24" s="143"/>
      <c r="F24" s="133" t="s">
        <v>145</v>
      </c>
      <c r="G24" s="144">
        <f>SUM(G19-(G20+G21))</f>
        <v>135579</v>
      </c>
    </row>
    <row r="25" spans="4:12" ht="14.25" customHeight="1">
      <c r="F25" s="135"/>
    </row>
    <row r="26" spans="4:12" ht="14.25" customHeight="1">
      <c r="D26" s="145"/>
      <c r="E26" s="145"/>
      <c r="F26" s="135" t="s">
        <v>146</v>
      </c>
      <c r="G26" s="132">
        <v>50920</v>
      </c>
      <c r="H26" s="145"/>
      <c r="I26" s="145"/>
      <c r="J26" s="145"/>
      <c r="K26" s="145"/>
      <c r="L26" s="145"/>
    </row>
    <row r="27" spans="4:12" ht="14.25" customHeight="1">
      <c r="D27" s="145"/>
      <c r="E27" s="145"/>
      <c r="F27" s="145"/>
      <c r="G27" s="145"/>
      <c r="H27" s="145"/>
      <c r="I27" s="145"/>
      <c r="J27" s="145"/>
      <c r="K27" s="145"/>
      <c r="L27" s="146"/>
    </row>
    <row r="28" spans="4:12" ht="14.25" customHeight="1">
      <c r="D28" s="145"/>
      <c r="E28" s="145"/>
      <c r="F28" s="145"/>
      <c r="G28" s="145"/>
      <c r="H28" s="145"/>
      <c r="I28" s="145"/>
      <c r="J28" s="145"/>
      <c r="K28" s="145"/>
      <c r="L28" s="145"/>
    </row>
    <row r="29" spans="4:12" ht="14.25" customHeight="1">
      <c r="D29" s="145"/>
      <c r="E29" s="145"/>
      <c r="F29" s="145"/>
      <c r="G29" s="145"/>
      <c r="H29" s="145"/>
      <c r="I29" s="145"/>
      <c r="J29" s="145"/>
      <c r="K29" s="145"/>
      <c r="L29" s="145"/>
    </row>
    <row r="30" spans="4:12" ht="14.25" customHeight="1">
      <c r="D30" s="145"/>
      <c r="E30" s="145"/>
      <c r="F30" s="145"/>
      <c r="G30" s="145"/>
      <c r="H30" s="145"/>
      <c r="I30" s="145"/>
      <c r="J30" s="145"/>
      <c r="K30" s="145"/>
      <c r="L30" s="145"/>
    </row>
    <row r="31" spans="4:12" ht="14.25" customHeight="1">
      <c r="K31" s="102"/>
    </row>
    <row r="32" spans="4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workbookViewId="0">
      <selection activeCell="A21" sqref="A21"/>
    </sheetView>
  </sheetViews>
  <sheetFormatPr defaultColWidth="12.625" defaultRowHeight="15" customHeight="1"/>
  <cols>
    <col min="1" max="1" width="35.625" customWidth="1"/>
    <col min="2" max="2" width="14.75" customWidth="1"/>
    <col min="3" max="3" width="18.125" customWidth="1"/>
    <col min="4" max="4" width="20.625" customWidth="1"/>
    <col min="5" max="5" width="11.75" customWidth="1"/>
    <col min="6" max="6" width="8.625" customWidth="1"/>
    <col min="7" max="7" width="47.625" customWidth="1"/>
    <col min="8" max="8" width="13.5" customWidth="1"/>
    <col min="9" max="9" width="17.875" customWidth="1"/>
    <col min="10" max="10" width="11.75" customWidth="1"/>
    <col min="11" max="26" width="8.625" customWidth="1"/>
  </cols>
  <sheetData>
    <row r="1" spans="1:9" ht="14.25" customHeight="1">
      <c r="B1" s="46" t="s">
        <v>147</v>
      </c>
      <c r="C1" s="46" t="s">
        <v>148</v>
      </c>
      <c r="D1" s="46" t="s">
        <v>149</v>
      </c>
      <c r="G1" s="133" t="s">
        <v>150</v>
      </c>
      <c r="H1" s="46">
        <v>2024</v>
      </c>
      <c r="I1" s="46">
        <v>2025</v>
      </c>
    </row>
    <row r="2" spans="1:9" ht="14.25" customHeight="1">
      <c r="A2" s="133" t="s">
        <v>129</v>
      </c>
      <c r="B2" s="135" t="s">
        <v>151</v>
      </c>
      <c r="C2" s="46" t="s">
        <v>152</v>
      </c>
      <c r="G2" s="135"/>
      <c r="I2" s="147"/>
    </row>
    <row r="3" spans="1:9" ht="14.25" customHeight="1">
      <c r="A3" s="135"/>
      <c r="B3" s="135"/>
      <c r="G3" s="136" t="s">
        <v>128</v>
      </c>
      <c r="H3" s="135">
        <v>422280</v>
      </c>
      <c r="I3" s="148">
        <v>375229</v>
      </c>
    </row>
    <row r="4" spans="1:9" ht="14.25" customHeight="1">
      <c r="A4" s="135" t="s">
        <v>133</v>
      </c>
      <c r="B4" s="149">
        <v>102936</v>
      </c>
      <c r="C4" s="148">
        <v>110720.68</v>
      </c>
      <c r="D4" s="148">
        <f>25612.68</f>
        <v>25612.68</v>
      </c>
      <c r="G4" s="138" t="s">
        <v>131</v>
      </c>
      <c r="H4" s="135">
        <v>32700</v>
      </c>
      <c r="I4" s="148"/>
    </row>
    <row r="5" spans="1:9" ht="14.25" customHeight="1">
      <c r="A5" s="135" t="s">
        <v>153</v>
      </c>
      <c r="B5" s="149"/>
      <c r="C5" s="148"/>
      <c r="D5" s="148">
        <v>1272.3800000000001</v>
      </c>
      <c r="G5" s="135" t="s">
        <v>132</v>
      </c>
      <c r="H5" s="135">
        <v>1686</v>
      </c>
      <c r="I5" s="148">
        <v>2023</v>
      </c>
    </row>
    <row r="6" spans="1:9" ht="14.25" customHeight="1">
      <c r="A6" s="135" t="s">
        <v>136</v>
      </c>
      <c r="B6" s="149">
        <v>201686</v>
      </c>
      <c r="C6" s="148">
        <f>100000+101686</f>
        <v>201686</v>
      </c>
      <c r="D6" s="148">
        <f>103243+100000+50466</f>
        <v>253709</v>
      </c>
      <c r="G6" s="135" t="s">
        <v>135</v>
      </c>
      <c r="H6" s="150">
        <f t="shared" ref="H6:I6" si="0">SUM(H3:H5)</f>
        <v>456666</v>
      </c>
      <c r="I6" s="148">
        <f t="shared" si="0"/>
        <v>377252</v>
      </c>
    </row>
    <row r="7" spans="1:9" ht="14.25" customHeight="1">
      <c r="A7" s="135"/>
      <c r="B7" s="149"/>
      <c r="C7" s="148"/>
      <c r="D7" s="148"/>
      <c r="E7" s="151">
        <f>SUM(D4:D6)</f>
        <v>280594.06</v>
      </c>
      <c r="G7" s="135"/>
      <c r="H7" s="150"/>
      <c r="I7" s="148"/>
    </row>
    <row r="8" spans="1:9" ht="14.25" customHeight="1">
      <c r="A8" s="135" t="s">
        <v>138</v>
      </c>
      <c r="B8" s="149">
        <v>2621250</v>
      </c>
      <c r="C8" s="148"/>
      <c r="D8" s="148">
        <v>2486250</v>
      </c>
      <c r="G8" s="133" t="s">
        <v>14</v>
      </c>
      <c r="H8" s="135"/>
      <c r="I8" s="148"/>
    </row>
    <row r="9" spans="1:9" ht="14.25" customHeight="1">
      <c r="A9" s="135"/>
      <c r="B9" s="149"/>
      <c r="C9" s="148"/>
      <c r="D9" s="148"/>
      <c r="G9" s="135" t="s">
        <v>16</v>
      </c>
      <c r="H9" s="135">
        <v>97563</v>
      </c>
      <c r="I9" s="148">
        <v>43750</v>
      </c>
    </row>
    <row r="10" spans="1:9" ht="14.25" customHeight="1">
      <c r="A10" s="135"/>
      <c r="B10" s="149">
        <f>SUM(B4:B8)</f>
        <v>2925872</v>
      </c>
      <c r="C10" s="148"/>
      <c r="D10" s="148">
        <f>SUM(D4:D9)</f>
        <v>2766844.06</v>
      </c>
      <c r="G10" s="140" t="s">
        <v>23</v>
      </c>
      <c r="H10" s="135"/>
      <c r="I10" s="148"/>
    </row>
    <row r="11" spans="1:9" ht="14.25" customHeight="1">
      <c r="A11" s="135"/>
      <c r="B11" s="149"/>
      <c r="C11" s="148"/>
      <c r="D11" s="148"/>
      <c r="G11" s="135" t="s">
        <v>24</v>
      </c>
      <c r="H11" s="135">
        <v>3937</v>
      </c>
      <c r="I11" s="148">
        <f>3332+955</f>
        <v>4287</v>
      </c>
    </row>
    <row r="12" spans="1:9" ht="14.25" customHeight="1">
      <c r="A12" s="135"/>
      <c r="B12" s="149"/>
      <c r="C12" s="148"/>
      <c r="D12" s="148"/>
      <c r="G12" s="135" t="s">
        <v>32</v>
      </c>
      <c r="H12" s="135">
        <v>26362</v>
      </c>
      <c r="I12" s="148">
        <f>33305+6809</f>
        <v>40114</v>
      </c>
    </row>
    <row r="13" spans="1:9" ht="14.25" customHeight="1">
      <c r="A13" s="133" t="s">
        <v>130</v>
      </c>
      <c r="B13" s="149"/>
      <c r="C13" s="148"/>
      <c r="D13" s="148"/>
      <c r="G13" s="135" t="s">
        <v>36</v>
      </c>
      <c r="H13" s="135">
        <v>21818</v>
      </c>
      <c r="I13" s="148">
        <v>11458</v>
      </c>
    </row>
    <row r="14" spans="1:9" ht="14.25" customHeight="1">
      <c r="A14" s="135"/>
      <c r="B14" s="149"/>
      <c r="C14" s="148"/>
      <c r="D14" s="148"/>
      <c r="G14" s="140" t="s">
        <v>40</v>
      </c>
      <c r="H14" s="135"/>
      <c r="I14" s="148"/>
    </row>
    <row r="15" spans="1:9" ht="14.25" customHeight="1">
      <c r="A15" s="135" t="s">
        <v>134</v>
      </c>
      <c r="B15" s="149">
        <v>2621250</v>
      </c>
      <c r="C15" s="148">
        <v>2621250</v>
      </c>
      <c r="D15" s="148">
        <v>2486250</v>
      </c>
      <c r="G15" s="135" t="s">
        <v>154</v>
      </c>
      <c r="H15" s="135">
        <v>4020</v>
      </c>
      <c r="I15" s="148">
        <f>4200+4020</f>
        <v>8220</v>
      </c>
    </row>
    <row r="16" spans="1:9" ht="14.25" customHeight="1">
      <c r="A16" s="135" t="s">
        <v>155</v>
      </c>
      <c r="B16" s="149"/>
      <c r="C16" s="148">
        <v>11621</v>
      </c>
      <c r="D16" s="148">
        <v>0</v>
      </c>
      <c r="G16" s="135" t="s">
        <v>140</v>
      </c>
      <c r="H16" s="135">
        <v>6457</v>
      </c>
      <c r="I16" s="148">
        <f>9770+299+12022+428.75+16239.27+2590+2861+1365</f>
        <v>45575.020000000004</v>
      </c>
    </row>
    <row r="17" spans="1:10" ht="14.25" customHeight="1">
      <c r="A17" s="135" t="s">
        <v>156</v>
      </c>
      <c r="B17" s="149"/>
      <c r="C17" s="148"/>
      <c r="D17" s="148">
        <v>4200</v>
      </c>
      <c r="G17" s="135" t="s">
        <v>141</v>
      </c>
      <c r="H17" s="135">
        <v>15183</v>
      </c>
      <c r="I17" s="148"/>
    </row>
    <row r="18" spans="1:10" ht="14.25" customHeight="1">
      <c r="A18" s="135"/>
      <c r="B18" s="149"/>
      <c r="C18" s="148"/>
      <c r="D18" s="148"/>
      <c r="G18" s="135" t="s">
        <v>157</v>
      </c>
      <c r="H18" s="135"/>
      <c r="I18" s="148">
        <v>49444.6</v>
      </c>
    </row>
    <row r="19" spans="1:10" ht="14.25" customHeight="1">
      <c r="A19" s="135" t="s">
        <v>137</v>
      </c>
      <c r="B19" s="149">
        <v>304622</v>
      </c>
      <c r="C19" s="148"/>
      <c r="D19" s="148">
        <f>B19+I24</f>
        <v>282405.04000000004</v>
      </c>
      <c r="G19" s="133" t="s">
        <v>142</v>
      </c>
      <c r="H19" s="133">
        <f t="shared" ref="H19:I19" si="1">H6-(SUM(H9:H17))</f>
        <v>281326</v>
      </c>
      <c r="I19" s="152">
        <f t="shared" si="1"/>
        <v>223847.97999999998</v>
      </c>
    </row>
    <row r="20" spans="1:10" ht="14.25" customHeight="1">
      <c r="A20" s="135"/>
      <c r="B20" s="149"/>
      <c r="C20" s="148"/>
      <c r="D20" s="148"/>
      <c r="G20" s="135" t="s">
        <v>143</v>
      </c>
      <c r="H20" s="135">
        <v>66997</v>
      </c>
      <c r="I20" s="148">
        <v>87037</v>
      </c>
    </row>
    <row r="21" spans="1:10" ht="14.25" customHeight="1">
      <c r="A21" s="135"/>
      <c r="B21" s="149"/>
      <c r="C21" s="148"/>
      <c r="D21" s="148"/>
      <c r="G21" s="135" t="s">
        <v>144</v>
      </c>
      <c r="H21" s="153">
        <v>78750</v>
      </c>
      <c r="I21" s="148">
        <f>B10-D10</f>
        <v>159027.93999999994</v>
      </c>
    </row>
    <row r="22" spans="1:10" ht="14.25" customHeight="1">
      <c r="A22" s="135"/>
      <c r="B22" s="149">
        <f>SUM(B15:B21)</f>
        <v>2925872</v>
      </c>
      <c r="C22" s="148"/>
      <c r="D22" s="154">
        <f>SUM(D15:D21)</f>
        <v>2772855.04</v>
      </c>
      <c r="G22" s="135"/>
      <c r="H22" s="135"/>
      <c r="I22" s="148"/>
      <c r="J22" s="147"/>
    </row>
    <row r="23" spans="1:10" ht="14.25" customHeight="1">
      <c r="A23" s="135"/>
      <c r="B23" s="149"/>
      <c r="D23" s="148"/>
      <c r="G23" s="135"/>
      <c r="H23" s="135"/>
      <c r="I23" s="148"/>
    </row>
    <row r="24" spans="1:10" ht="14.25" customHeight="1">
      <c r="B24" s="145"/>
      <c r="G24" s="133" t="s">
        <v>145</v>
      </c>
      <c r="H24" s="155">
        <f t="shared" ref="H24:I24" si="2">SUM(H19-(H20+H21))</f>
        <v>135579</v>
      </c>
      <c r="I24" s="155">
        <f t="shared" si="2"/>
        <v>-22216.959999999963</v>
      </c>
    </row>
    <row r="25" spans="1:10" ht="14.25" customHeight="1">
      <c r="B25" s="145"/>
      <c r="G25" s="135"/>
      <c r="H25" s="135"/>
      <c r="I25" s="148"/>
    </row>
    <row r="26" spans="1:10" ht="14.25" customHeight="1">
      <c r="B26" s="145"/>
      <c r="G26" s="135" t="s">
        <v>146</v>
      </c>
      <c r="H26" s="135">
        <v>50920</v>
      </c>
      <c r="I26" s="148"/>
    </row>
    <row r="27" spans="1:10" ht="14.25" customHeight="1">
      <c r="I27" s="148"/>
    </row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workbookViewId="0"/>
  </sheetViews>
  <sheetFormatPr defaultColWidth="12.625" defaultRowHeight="15" customHeight="1"/>
  <cols>
    <col min="1" max="1" width="8.625" customWidth="1"/>
    <col min="2" max="2" width="13.25" customWidth="1"/>
    <col min="3" max="4" width="11.75" customWidth="1"/>
    <col min="5" max="6" width="13.25" customWidth="1"/>
    <col min="7" max="26" width="8.625" customWidth="1"/>
  </cols>
  <sheetData>
    <row r="1" spans="1:6" ht="14.25" customHeight="1">
      <c r="A1" s="156" t="s">
        <v>158</v>
      </c>
      <c r="B1" s="156" t="s">
        <v>159</v>
      </c>
      <c r="C1" s="156" t="s">
        <v>160</v>
      </c>
      <c r="D1" s="156" t="s">
        <v>161</v>
      </c>
      <c r="E1" s="156" t="s">
        <v>162</v>
      </c>
      <c r="F1" s="156" t="s">
        <v>163</v>
      </c>
    </row>
    <row r="2" spans="1:6" ht="14.25" customHeight="1">
      <c r="A2" s="46" t="s">
        <v>32</v>
      </c>
    </row>
    <row r="3" spans="1:6" ht="14.25" customHeight="1">
      <c r="A3" s="46">
        <v>3</v>
      </c>
      <c r="B3" s="147">
        <v>4599.03</v>
      </c>
      <c r="C3" s="147">
        <v>1149.76</v>
      </c>
      <c r="D3" s="147"/>
      <c r="F3" s="147">
        <f t="shared" ref="F3:F7" si="0">B3+C3</f>
        <v>5748.79</v>
      </c>
    </row>
    <row r="4" spans="1:6" ht="14.25" customHeight="1">
      <c r="A4" s="46">
        <v>13</v>
      </c>
      <c r="B4" s="147">
        <v>5271.35</v>
      </c>
      <c r="C4" s="147">
        <v>1317.84</v>
      </c>
      <c r="D4" s="147"/>
      <c r="F4" s="147">
        <f t="shared" si="0"/>
        <v>6589.1900000000005</v>
      </c>
    </row>
    <row r="5" spans="1:6" ht="14.25" customHeight="1">
      <c r="A5" s="46">
        <v>33</v>
      </c>
      <c r="B5" s="147">
        <v>5454.23</v>
      </c>
      <c r="C5" s="147">
        <v>1363.56</v>
      </c>
      <c r="D5" s="147"/>
      <c r="F5" s="147">
        <f t="shared" si="0"/>
        <v>6817.7899999999991</v>
      </c>
    </row>
    <row r="6" spans="1:6" ht="14.25" customHeight="1">
      <c r="A6" s="157">
        <v>41</v>
      </c>
      <c r="B6" s="158">
        <v>5533.26</v>
      </c>
      <c r="C6" s="158">
        <v>1383.32</v>
      </c>
      <c r="D6" s="158"/>
      <c r="E6" s="157"/>
      <c r="F6" s="158">
        <f t="shared" si="0"/>
        <v>6916.58</v>
      </c>
    </row>
    <row r="7" spans="1:6" ht="14.25" customHeight="1">
      <c r="B7" s="147">
        <f t="shared" ref="B7:C7" si="1">SUM(B3:B6)</f>
        <v>20857.870000000003</v>
      </c>
      <c r="C7" s="147">
        <f t="shared" si="1"/>
        <v>5214.4799999999996</v>
      </c>
      <c r="D7" s="147">
        <v>24000</v>
      </c>
      <c r="E7" s="147">
        <f>D7*0.25</f>
        <v>6000</v>
      </c>
      <c r="F7" s="147">
        <f t="shared" si="0"/>
        <v>26072.350000000002</v>
      </c>
    </row>
    <row r="8" spans="1:6" ht="14.25" customHeight="1">
      <c r="A8" s="46" t="s">
        <v>164</v>
      </c>
      <c r="B8" s="147"/>
      <c r="C8" s="147"/>
      <c r="D8" s="147"/>
    </row>
    <row r="9" spans="1:6" ht="14.25" customHeight="1">
      <c r="A9" s="46">
        <v>16</v>
      </c>
      <c r="B9" s="147">
        <v>969750</v>
      </c>
      <c r="C9" s="147">
        <v>242437.5</v>
      </c>
      <c r="D9" s="147"/>
      <c r="E9" s="147"/>
      <c r="F9" s="147">
        <f t="shared" ref="F9:F11" si="2">SUM(B9:D9)</f>
        <v>1212187.5</v>
      </c>
    </row>
    <row r="10" spans="1:6" ht="14.25" customHeight="1">
      <c r="A10" s="46">
        <v>20</v>
      </c>
      <c r="B10" s="147">
        <v>1077500</v>
      </c>
      <c r="C10" s="147">
        <v>269375</v>
      </c>
      <c r="D10" s="147"/>
      <c r="E10" s="147"/>
      <c r="F10" s="147">
        <f t="shared" si="2"/>
        <v>1346875</v>
      </c>
    </row>
    <row r="11" spans="1:6" ht="14.25" customHeight="1">
      <c r="A11" s="157">
        <v>35</v>
      </c>
      <c r="B11" s="158">
        <v>107750</v>
      </c>
      <c r="C11" s="158">
        <v>26937.5</v>
      </c>
      <c r="D11" s="158"/>
      <c r="E11" s="158"/>
      <c r="F11" s="158">
        <f t="shared" si="2"/>
        <v>134687.5</v>
      </c>
    </row>
    <row r="12" spans="1:6" ht="14.25" customHeight="1">
      <c r="B12" s="147">
        <f t="shared" ref="B12:C12" si="3">SUM(B9:B11)</f>
        <v>2155000</v>
      </c>
      <c r="C12" s="147">
        <f t="shared" si="3"/>
        <v>538750</v>
      </c>
      <c r="D12" s="147">
        <v>0</v>
      </c>
      <c r="E12" s="147">
        <v>0</v>
      </c>
      <c r="F12" s="147">
        <f>SUM(F9:F11)</f>
        <v>2693750</v>
      </c>
    </row>
    <row r="13" spans="1:6" ht="14.25" customHeight="1">
      <c r="B13" s="147"/>
      <c r="C13" s="147"/>
      <c r="D13" s="147"/>
      <c r="E13" s="147"/>
    </row>
    <row r="14" spans="1:6" ht="14.25" customHeight="1">
      <c r="A14" s="159" t="s">
        <v>165</v>
      </c>
      <c r="B14" s="160">
        <f t="shared" ref="B14:E14" si="4">B7+B12</f>
        <v>2175857.87</v>
      </c>
      <c r="C14" s="160">
        <f t="shared" si="4"/>
        <v>543964.48</v>
      </c>
      <c r="D14" s="160">
        <f t="shared" si="4"/>
        <v>24000</v>
      </c>
      <c r="E14" s="161">
        <f t="shared" si="4"/>
        <v>6000</v>
      </c>
    </row>
    <row r="15" spans="1:6" ht="14.25" customHeight="1">
      <c r="B15" s="147"/>
      <c r="C15" s="147"/>
      <c r="D15" s="147"/>
    </row>
    <row r="16" spans="1:6" ht="14.25" customHeight="1">
      <c r="A16" s="46" t="s">
        <v>166</v>
      </c>
      <c r="B16" s="147">
        <v>26362</v>
      </c>
      <c r="C16" s="147" t="s">
        <v>167</v>
      </c>
      <c r="D16" s="147"/>
    </row>
    <row r="17" spans="2:2" ht="14.25" customHeight="1">
      <c r="B17" s="147"/>
    </row>
    <row r="18" spans="2:2" ht="14.25" customHeight="1"/>
    <row r="19" spans="2:2" ht="14.25" customHeight="1"/>
    <row r="20" spans="2:2" ht="14.25" customHeight="1"/>
    <row r="21" spans="2:2" ht="14.25" customHeight="1"/>
    <row r="22" spans="2:2" ht="14.25" customHeight="1"/>
    <row r="23" spans="2:2" ht="14.25" customHeight="1"/>
    <row r="24" spans="2:2" ht="14.25" customHeight="1"/>
    <row r="25" spans="2:2" ht="14.25" customHeight="1"/>
    <row r="26" spans="2:2" ht="14.25" customHeight="1"/>
    <row r="27" spans="2:2" ht="14.25" customHeight="1"/>
    <row r="28" spans="2:2" ht="14.25" customHeight="1"/>
    <row r="29" spans="2:2" ht="14.25" customHeight="1"/>
    <row r="30" spans="2:2" ht="14.25" customHeight="1"/>
    <row r="31" spans="2:2" ht="14.25" customHeight="1"/>
    <row r="32" spans="2: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1000"/>
  <sheetViews>
    <sheetView tabSelected="1" workbookViewId="0">
      <selection activeCell="D24" sqref="D24"/>
    </sheetView>
  </sheetViews>
  <sheetFormatPr defaultColWidth="12.625" defaultRowHeight="15" customHeight="1"/>
  <cols>
    <col min="1" max="1" width="14.5" customWidth="1"/>
    <col min="2" max="2" width="20.875" customWidth="1"/>
    <col min="3" max="3" width="13" customWidth="1"/>
    <col min="4" max="4" width="16.625" customWidth="1"/>
    <col min="5" max="9" width="14.5" customWidth="1"/>
    <col min="10" max="10" width="16.5" customWidth="1"/>
    <col min="11" max="28" width="14.5" customWidth="1"/>
  </cols>
  <sheetData>
    <row r="1" spans="1:28" ht="15.75" customHeight="1">
      <c r="A1" s="162" t="s">
        <v>168</v>
      </c>
      <c r="B1" s="163"/>
      <c r="C1" s="163"/>
      <c r="D1" s="164" t="s">
        <v>169</v>
      </c>
      <c r="E1" s="164"/>
      <c r="F1" s="163"/>
      <c r="G1" s="163"/>
      <c r="H1" s="163"/>
      <c r="I1" s="165" t="s">
        <v>28</v>
      </c>
      <c r="J1" s="166">
        <v>3300</v>
      </c>
      <c r="K1" s="167">
        <f>Budget!B26</f>
        <v>358559.27500000002</v>
      </c>
      <c r="L1" s="168" t="s">
        <v>170</v>
      </c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</row>
    <row r="2" spans="1:28" ht="33" customHeight="1">
      <c r="A2" s="170" t="s">
        <v>171</v>
      </c>
      <c r="B2" s="164" t="s">
        <v>172</v>
      </c>
      <c r="C2" s="247" t="s">
        <v>325</v>
      </c>
      <c r="D2" s="164" t="s">
        <v>173</v>
      </c>
      <c r="E2" s="171" t="s">
        <v>174</v>
      </c>
      <c r="F2" s="171" t="s">
        <v>175</v>
      </c>
      <c r="G2" s="171" t="s">
        <v>175</v>
      </c>
      <c r="H2" s="171" t="s">
        <v>176</v>
      </c>
      <c r="I2" s="164" t="s">
        <v>177</v>
      </c>
      <c r="J2" s="172" t="s">
        <v>178</v>
      </c>
      <c r="K2" s="173">
        <f>(K1/9)/12</f>
        <v>3319.9932870370371</v>
      </c>
      <c r="L2" s="174" t="s">
        <v>179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</row>
    <row r="3" spans="1:28" ht="14.25" customHeight="1">
      <c r="A3" s="175" t="s">
        <v>180</v>
      </c>
      <c r="B3" s="176" t="s">
        <v>181</v>
      </c>
      <c r="C3" s="176" t="s">
        <v>182</v>
      </c>
      <c r="D3" s="176" t="s">
        <v>183</v>
      </c>
      <c r="E3" s="176" t="s">
        <v>184</v>
      </c>
      <c r="F3" s="176" t="s">
        <v>185</v>
      </c>
      <c r="G3" s="176" t="s">
        <v>186</v>
      </c>
      <c r="H3" s="176" t="s">
        <v>187</v>
      </c>
      <c r="I3" s="176" t="s">
        <v>188</v>
      </c>
      <c r="J3" s="176" t="s">
        <v>189</v>
      </c>
      <c r="K3" s="177" t="s">
        <v>15</v>
      </c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</row>
    <row r="4" spans="1:28" ht="14.25" customHeight="1">
      <c r="A4" s="178">
        <v>46082</v>
      </c>
      <c r="B4" s="179">
        <f t="shared" ref="B4:B15" si="0">$J$1</f>
        <v>3300</v>
      </c>
      <c r="C4" s="179">
        <f t="shared" ref="C4:C15" si="1">$J$1-A$18</f>
        <v>3240</v>
      </c>
      <c r="D4" s="179">
        <f t="shared" ref="D4:I4" si="2">$J$1</f>
        <v>3300</v>
      </c>
      <c r="E4" s="179">
        <f t="shared" si="2"/>
        <v>3300</v>
      </c>
      <c r="F4" s="179">
        <f t="shared" si="2"/>
        <v>3300</v>
      </c>
      <c r="G4" s="179">
        <f t="shared" si="2"/>
        <v>3300</v>
      </c>
      <c r="H4" s="179">
        <f t="shared" si="2"/>
        <v>3300</v>
      </c>
      <c r="I4" s="179">
        <f t="shared" si="2"/>
        <v>3300</v>
      </c>
      <c r="J4" s="179">
        <f t="shared" ref="J4:J15" si="3">$J$1-$A$20</f>
        <v>3270</v>
      </c>
      <c r="K4" s="180">
        <f t="shared" ref="K4:K15" si="4">SUM(B4:J4)</f>
        <v>29610</v>
      </c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</row>
    <row r="5" spans="1:28" ht="14.25" customHeight="1">
      <c r="A5" s="178">
        <v>46113</v>
      </c>
      <c r="B5" s="179">
        <f t="shared" si="0"/>
        <v>3300</v>
      </c>
      <c r="C5" s="179">
        <f t="shared" si="1"/>
        <v>3240</v>
      </c>
      <c r="D5" s="179">
        <f t="shared" ref="D5:I5" si="5">$J$1</f>
        <v>3300</v>
      </c>
      <c r="E5" s="179">
        <f t="shared" si="5"/>
        <v>3300</v>
      </c>
      <c r="F5" s="179">
        <f t="shared" si="5"/>
        <v>3300</v>
      </c>
      <c r="G5" s="179">
        <f t="shared" si="5"/>
        <v>3300</v>
      </c>
      <c r="H5" s="179">
        <f t="shared" si="5"/>
        <v>3300</v>
      </c>
      <c r="I5" s="179">
        <f t="shared" si="5"/>
        <v>3300</v>
      </c>
      <c r="J5" s="179">
        <f t="shared" si="3"/>
        <v>3270</v>
      </c>
      <c r="K5" s="180">
        <f t="shared" si="4"/>
        <v>29610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</row>
    <row r="6" spans="1:28" ht="14.25" customHeight="1">
      <c r="A6" s="178">
        <v>46143</v>
      </c>
      <c r="B6" s="179">
        <f t="shared" si="0"/>
        <v>3300</v>
      </c>
      <c r="C6" s="179">
        <f t="shared" si="1"/>
        <v>3240</v>
      </c>
      <c r="D6" s="179">
        <f t="shared" ref="D6:I6" si="6">$J$1</f>
        <v>3300</v>
      </c>
      <c r="E6" s="179">
        <f t="shared" si="6"/>
        <v>3300</v>
      </c>
      <c r="F6" s="179">
        <f t="shared" si="6"/>
        <v>3300</v>
      </c>
      <c r="G6" s="179">
        <f t="shared" si="6"/>
        <v>3300</v>
      </c>
      <c r="H6" s="179">
        <f t="shared" si="6"/>
        <v>3300</v>
      </c>
      <c r="I6" s="179">
        <f t="shared" si="6"/>
        <v>3300</v>
      </c>
      <c r="J6" s="179">
        <f t="shared" si="3"/>
        <v>3270</v>
      </c>
      <c r="K6" s="180">
        <f t="shared" si="4"/>
        <v>29610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</row>
    <row r="7" spans="1:28" ht="14.25" customHeight="1">
      <c r="A7" s="178">
        <v>46174</v>
      </c>
      <c r="B7" s="179">
        <f t="shared" si="0"/>
        <v>3300</v>
      </c>
      <c r="C7" s="179">
        <f t="shared" si="1"/>
        <v>3240</v>
      </c>
      <c r="D7" s="179">
        <f t="shared" ref="D7:I7" si="7">$J$1</f>
        <v>3300</v>
      </c>
      <c r="E7" s="179">
        <f t="shared" si="7"/>
        <v>3300</v>
      </c>
      <c r="F7" s="179">
        <f t="shared" si="7"/>
        <v>3300</v>
      </c>
      <c r="G7" s="179">
        <f t="shared" si="7"/>
        <v>3300</v>
      </c>
      <c r="H7" s="179">
        <f t="shared" si="7"/>
        <v>3300</v>
      </c>
      <c r="I7" s="179">
        <f t="shared" si="7"/>
        <v>3300</v>
      </c>
      <c r="J7" s="179">
        <f t="shared" si="3"/>
        <v>3270</v>
      </c>
      <c r="K7" s="180">
        <f t="shared" si="4"/>
        <v>29610</v>
      </c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</row>
    <row r="8" spans="1:28" ht="14.25" customHeight="1">
      <c r="A8" s="178">
        <v>46204</v>
      </c>
      <c r="B8" s="179">
        <f t="shared" si="0"/>
        <v>3300</v>
      </c>
      <c r="C8" s="179">
        <f t="shared" si="1"/>
        <v>3240</v>
      </c>
      <c r="D8" s="179">
        <f t="shared" ref="D8:I8" si="8">$J$1</f>
        <v>3300</v>
      </c>
      <c r="E8" s="179">
        <f t="shared" si="8"/>
        <v>3300</v>
      </c>
      <c r="F8" s="179">
        <f t="shared" si="8"/>
        <v>3300</v>
      </c>
      <c r="G8" s="179">
        <f t="shared" si="8"/>
        <v>3300</v>
      </c>
      <c r="H8" s="179">
        <f t="shared" si="8"/>
        <v>3300</v>
      </c>
      <c r="I8" s="179">
        <f t="shared" si="8"/>
        <v>3300</v>
      </c>
      <c r="J8" s="179">
        <f t="shared" si="3"/>
        <v>3270</v>
      </c>
      <c r="K8" s="180">
        <f t="shared" si="4"/>
        <v>29610</v>
      </c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</row>
    <row r="9" spans="1:28" ht="14.25" customHeight="1">
      <c r="A9" s="178">
        <v>46235</v>
      </c>
      <c r="B9" s="179">
        <f t="shared" si="0"/>
        <v>3300</v>
      </c>
      <c r="C9" s="179">
        <f t="shared" si="1"/>
        <v>3240</v>
      </c>
      <c r="D9" s="179">
        <f t="shared" ref="D9:I9" si="9">$J$1</f>
        <v>3300</v>
      </c>
      <c r="E9" s="179">
        <f t="shared" si="9"/>
        <v>3300</v>
      </c>
      <c r="F9" s="179">
        <f t="shared" si="9"/>
        <v>3300</v>
      </c>
      <c r="G9" s="179">
        <f t="shared" si="9"/>
        <v>3300</v>
      </c>
      <c r="H9" s="179">
        <f t="shared" si="9"/>
        <v>3300</v>
      </c>
      <c r="I9" s="179">
        <f t="shared" si="9"/>
        <v>3300</v>
      </c>
      <c r="J9" s="179">
        <f t="shared" si="3"/>
        <v>3270</v>
      </c>
      <c r="K9" s="180">
        <f t="shared" si="4"/>
        <v>29610</v>
      </c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</row>
    <row r="10" spans="1:28" ht="14.25" customHeight="1">
      <c r="A10" s="178">
        <v>46266</v>
      </c>
      <c r="B10" s="179">
        <f t="shared" si="0"/>
        <v>3300</v>
      </c>
      <c r="C10" s="179">
        <f t="shared" si="1"/>
        <v>3240</v>
      </c>
      <c r="D10" s="179">
        <f t="shared" ref="D10:I10" si="10">$J$1</f>
        <v>3300</v>
      </c>
      <c r="E10" s="179">
        <f t="shared" si="10"/>
        <v>3300</v>
      </c>
      <c r="F10" s="179">
        <f t="shared" si="10"/>
        <v>3300</v>
      </c>
      <c r="G10" s="179">
        <f t="shared" si="10"/>
        <v>3300</v>
      </c>
      <c r="H10" s="179">
        <f t="shared" si="10"/>
        <v>3300</v>
      </c>
      <c r="I10" s="179">
        <f t="shared" si="10"/>
        <v>3300</v>
      </c>
      <c r="J10" s="179">
        <f t="shared" si="3"/>
        <v>3270</v>
      </c>
      <c r="K10" s="180">
        <f t="shared" si="4"/>
        <v>29610</v>
      </c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</row>
    <row r="11" spans="1:28" ht="14.25" customHeight="1">
      <c r="A11" s="178">
        <v>46296</v>
      </c>
      <c r="B11" s="179">
        <f t="shared" si="0"/>
        <v>3300</v>
      </c>
      <c r="C11" s="179">
        <f t="shared" si="1"/>
        <v>3240</v>
      </c>
      <c r="D11" s="179">
        <f t="shared" ref="D11:I11" si="11">$J$1</f>
        <v>3300</v>
      </c>
      <c r="E11" s="179">
        <f t="shared" si="11"/>
        <v>3300</v>
      </c>
      <c r="F11" s="179">
        <f t="shared" si="11"/>
        <v>3300</v>
      </c>
      <c r="G11" s="179">
        <f t="shared" si="11"/>
        <v>3300</v>
      </c>
      <c r="H11" s="179">
        <f t="shared" si="11"/>
        <v>3300</v>
      </c>
      <c r="I11" s="179">
        <f t="shared" si="11"/>
        <v>3300</v>
      </c>
      <c r="J11" s="179">
        <f t="shared" si="3"/>
        <v>3270</v>
      </c>
      <c r="K11" s="180">
        <f t="shared" si="4"/>
        <v>29610</v>
      </c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</row>
    <row r="12" spans="1:28" ht="14.25" customHeight="1">
      <c r="A12" s="178">
        <v>46327</v>
      </c>
      <c r="B12" s="179">
        <f t="shared" si="0"/>
        <v>3300</v>
      </c>
      <c r="C12" s="179">
        <f t="shared" si="1"/>
        <v>3240</v>
      </c>
      <c r="D12" s="179">
        <f t="shared" ref="D12:I12" si="12">$J$1</f>
        <v>3300</v>
      </c>
      <c r="E12" s="179">
        <f t="shared" si="12"/>
        <v>3300</v>
      </c>
      <c r="F12" s="179">
        <f t="shared" si="12"/>
        <v>3300</v>
      </c>
      <c r="G12" s="179">
        <f t="shared" si="12"/>
        <v>3300</v>
      </c>
      <c r="H12" s="179">
        <f t="shared" si="12"/>
        <v>3300</v>
      </c>
      <c r="I12" s="179">
        <f t="shared" si="12"/>
        <v>3300</v>
      </c>
      <c r="J12" s="179">
        <f t="shared" si="3"/>
        <v>3270</v>
      </c>
      <c r="K12" s="180">
        <f t="shared" si="4"/>
        <v>29610</v>
      </c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</row>
    <row r="13" spans="1:28" ht="14.25" customHeight="1">
      <c r="A13" s="178">
        <v>46357</v>
      </c>
      <c r="B13" s="179">
        <f t="shared" si="0"/>
        <v>3300</v>
      </c>
      <c r="C13" s="179">
        <f t="shared" si="1"/>
        <v>3240</v>
      </c>
      <c r="D13" s="179">
        <f t="shared" ref="D13:I13" si="13">$J$1</f>
        <v>3300</v>
      </c>
      <c r="E13" s="179">
        <f t="shared" si="13"/>
        <v>3300</v>
      </c>
      <c r="F13" s="179">
        <f t="shared" si="13"/>
        <v>3300</v>
      </c>
      <c r="G13" s="179">
        <f t="shared" si="13"/>
        <v>3300</v>
      </c>
      <c r="H13" s="179">
        <f t="shared" si="13"/>
        <v>3300</v>
      </c>
      <c r="I13" s="179">
        <f t="shared" si="13"/>
        <v>3300</v>
      </c>
      <c r="J13" s="179">
        <f t="shared" si="3"/>
        <v>3270</v>
      </c>
      <c r="K13" s="180">
        <f t="shared" si="4"/>
        <v>29610</v>
      </c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</row>
    <row r="14" spans="1:28" ht="14.25" customHeight="1">
      <c r="A14" s="178">
        <v>46388</v>
      </c>
      <c r="B14" s="179">
        <f t="shared" si="0"/>
        <v>3300</v>
      </c>
      <c r="C14" s="179">
        <f t="shared" si="1"/>
        <v>3240</v>
      </c>
      <c r="D14" s="179">
        <f t="shared" ref="D14:I14" si="14">$J$1</f>
        <v>3300</v>
      </c>
      <c r="E14" s="179">
        <f t="shared" si="14"/>
        <v>3300</v>
      </c>
      <c r="F14" s="179">
        <f t="shared" si="14"/>
        <v>3300</v>
      </c>
      <c r="G14" s="179">
        <f t="shared" si="14"/>
        <v>3300</v>
      </c>
      <c r="H14" s="179">
        <f t="shared" si="14"/>
        <v>3300</v>
      </c>
      <c r="I14" s="179">
        <f t="shared" si="14"/>
        <v>3300</v>
      </c>
      <c r="J14" s="179">
        <f t="shared" si="3"/>
        <v>3270</v>
      </c>
      <c r="K14" s="180">
        <f t="shared" si="4"/>
        <v>29610</v>
      </c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</row>
    <row r="15" spans="1:28" ht="14.25" customHeight="1">
      <c r="A15" s="178">
        <v>46419</v>
      </c>
      <c r="B15" s="179">
        <f t="shared" si="0"/>
        <v>3300</v>
      </c>
      <c r="C15" s="179">
        <f t="shared" si="1"/>
        <v>3240</v>
      </c>
      <c r="D15" s="179">
        <f t="shared" ref="D15:I15" si="15">$J$1</f>
        <v>3300</v>
      </c>
      <c r="E15" s="179">
        <f t="shared" si="15"/>
        <v>3300</v>
      </c>
      <c r="F15" s="179">
        <f t="shared" si="15"/>
        <v>3300</v>
      </c>
      <c r="G15" s="179">
        <f t="shared" si="15"/>
        <v>3300</v>
      </c>
      <c r="H15" s="179">
        <f t="shared" si="15"/>
        <v>3300</v>
      </c>
      <c r="I15" s="179">
        <f t="shared" si="15"/>
        <v>3300</v>
      </c>
      <c r="J15" s="179">
        <f t="shared" si="3"/>
        <v>3270</v>
      </c>
      <c r="K15" s="180">
        <f t="shared" si="4"/>
        <v>29610</v>
      </c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spans="1:28" ht="14.25" customHeight="1">
      <c r="A16" s="181" t="s">
        <v>190</v>
      </c>
      <c r="B16" s="176">
        <f t="shared" ref="B16:K16" si="16">SUM(B4:B15)</f>
        <v>39600</v>
      </c>
      <c r="C16" s="176">
        <f t="shared" si="16"/>
        <v>38880</v>
      </c>
      <c r="D16" s="176">
        <f t="shared" si="16"/>
        <v>39600</v>
      </c>
      <c r="E16" s="176">
        <f t="shared" si="16"/>
        <v>39600</v>
      </c>
      <c r="F16" s="176">
        <f t="shared" si="16"/>
        <v>39600</v>
      </c>
      <c r="G16" s="176">
        <f t="shared" si="16"/>
        <v>39600</v>
      </c>
      <c r="H16" s="176">
        <f t="shared" si="16"/>
        <v>39600</v>
      </c>
      <c r="I16" s="176">
        <f t="shared" si="16"/>
        <v>39600</v>
      </c>
      <c r="J16" s="176">
        <f t="shared" si="16"/>
        <v>39240</v>
      </c>
      <c r="K16" s="176">
        <f t="shared" si="16"/>
        <v>355320</v>
      </c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</row>
    <row r="17" spans="1:28" ht="14.25" customHeight="1">
      <c r="A17" s="169"/>
      <c r="B17" s="169"/>
      <c r="C17" s="169"/>
      <c r="D17" s="169"/>
      <c r="E17" s="169"/>
      <c r="F17" s="169"/>
      <c r="G17" s="169"/>
      <c r="H17" s="169"/>
      <c r="I17" s="169"/>
      <c r="J17" s="182"/>
      <c r="K17" s="176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</row>
    <row r="18" spans="1:28" ht="14.25" customHeight="1">
      <c r="A18" s="183">
        <v>60</v>
      </c>
      <c r="B18" s="169" t="s">
        <v>191</v>
      </c>
      <c r="C18" s="169"/>
      <c r="D18" s="169"/>
      <c r="E18" s="169"/>
      <c r="F18" s="179">
        <f>A19*12</f>
        <v>18600</v>
      </c>
      <c r="G18" s="179">
        <f>A19*12</f>
        <v>18600</v>
      </c>
      <c r="H18" s="169"/>
      <c r="I18" s="169" t="s">
        <v>192</v>
      </c>
      <c r="K18" s="176">
        <f>K16-K17</f>
        <v>355320</v>
      </c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</row>
    <row r="19" spans="1:28" ht="14.25" customHeight="1">
      <c r="A19" s="184">
        <v>1550</v>
      </c>
      <c r="B19" s="246" t="s">
        <v>324</v>
      </c>
      <c r="C19" s="169"/>
      <c r="D19" s="169"/>
      <c r="E19" s="169"/>
      <c r="F19" s="179"/>
      <c r="G19" s="179"/>
      <c r="H19" s="169"/>
      <c r="I19" s="169" t="s">
        <v>193</v>
      </c>
      <c r="K19" s="185">
        <f>F18+G18</f>
        <v>37200</v>
      </c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</row>
    <row r="20" spans="1:28" ht="14.25" customHeight="1">
      <c r="A20" s="186">
        <v>30</v>
      </c>
      <c r="B20" s="169" t="s">
        <v>194</v>
      </c>
      <c r="C20" s="169"/>
      <c r="D20" s="169"/>
      <c r="E20" s="169"/>
      <c r="F20" s="185"/>
      <c r="G20" s="185"/>
      <c r="H20" s="187"/>
      <c r="I20" s="169" t="s">
        <v>195</v>
      </c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</row>
    <row r="21" spans="1:28" ht="14.25" customHeight="1">
      <c r="A21" s="169"/>
      <c r="B21" s="169"/>
      <c r="C21" s="169"/>
      <c r="D21" s="169"/>
      <c r="E21" s="169"/>
      <c r="F21" s="169"/>
      <c r="G21" s="169"/>
      <c r="H21" s="169"/>
      <c r="I21" s="169" t="s">
        <v>196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</row>
    <row r="22" spans="1:28" ht="14.25" customHeight="1">
      <c r="A22" s="169" t="s">
        <v>197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87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</row>
    <row r="23" spans="1:28" ht="14.25" customHeight="1">
      <c r="A23" s="187">
        <f>B4</f>
        <v>3300</v>
      </c>
      <c r="B23" s="188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</row>
    <row r="24" spans="1:28" ht="14.25" customHeight="1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</row>
    <row r="25" spans="1:28" ht="14.25" customHeight="1">
      <c r="A25" s="169" t="s">
        <v>198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</row>
    <row r="26" spans="1:28" ht="14.25" customHeight="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</row>
    <row r="27" spans="1:28" ht="14.25" customHeight="1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</row>
    <row r="28" spans="1:28" ht="14.25" customHeight="1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</row>
    <row r="29" spans="1:28" ht="14.25" customHeight="1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</row>
    <row r="30" spans="1:28" ht="14.25" customHeight="1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</row>
    <row r="31" spans="1:28" ht="14.25" customHeight="1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</row>
    <row r="32" spans="1:28" ht="14.25" customHeight="1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</row>
    <row r="33" spans="1:28" ht="14.25" customHeight="1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</row>
    <row r="34" spans="1:28" ht="14.25" customHeight="1">
      <c r="A34" s="169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</row>
    <row r="35" spans="1:28" ht="14.25" customHeight="1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</row>
    <row r="36" spans="1:28" ht="14.25" customHeight="1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</row>
    <row r="37" spans="1:28" ht="14.25" customHeight="1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</row>
    <row r="38" spans="1:28" ht="14.25" customHeight="1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</row>
    <row r="39" spans="1:28" ht="14.25" customHeight="1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</row>
    <row r="40" spans="1:28" ht="14.25" customHeight="1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</row>
    <row r="41" spans="1:28" ht="14.25" customHeight="1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</row>
    <row r="42" spans="1:28" ht="14.25" customHeight="1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</row>
    <row r="43" spans="1:28" ht="14.25" customHeight="1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</row>
    <row r="44" spans="1:28" ht="14.25" customHeight="1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</row>
    <row r="45" spans="1:28" ht="14.25" customHeight="1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</row>
    <row r="46" spans="1:28" ht="14.25" customHeight="1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</row>
    <row r="47" spans="1:28" ht="14.25" customHeight="1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</row>
    <row r="48" spans="1:28" ht="14.25" customHeight="1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</row>
    <row r="49" spans="1:28" ht="14.25" customHeight="1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</row>
    <row r="50" spans="1:28" ht="14.25" customHeight="1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</row>
    <row r="51" spans="1:28" ht="14.25" customHeight="1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</row>
    <row r="52" spans="1:28" ht="14.25" customHeight="1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</row>
    <row r="53" spans="1:28" ht="14.25" customHeight="1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</row>
    <row r="54" spans="1:28" ht="14.25" customHeight="1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</row>
    <row r="55" spans="1:28" ht="14.25" customHeight="1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</row>
    <row r="56" spans="1:28" ht="14.25" customHeight="1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</row>
    <row r="57" spans="1:28" ht="14.25" customHeight="1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</row>
    <row r="58" spans="1:28" ht="14.25" customHeight="1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</row>
    <row r="59" spans="1:28" ht="14.25" customHeight="1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</row>
    <row r="60" spans="1:28" ht="14.25" customHeight="1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</row>
    <row r="61" spans="1:28" ht="14.25" customHeight="1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</row>
    <row r="62" spans="1:28" ht="14.25" customHeight="1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</row>
    <row r="63" spans="1:28" ht="14.25" customHeight="1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</row>
    <row r="64" spans="1:28" ht="14.25" customHeight="1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</row>
    <row r="65" spans="1:28" ht="14.25" customHeight="1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</row>
    <row r="66" spans="1:28" ht="14.25" customHeight="1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</row>
    <row r="67" spans="1:28" ht="14.25" customHeight="1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</row>
    <row r="68" spans="1:28" ht="14.25" customHeight="1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</row>
    <row r="69" spans="1:28" ht="14.25" customHeight="1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</row>
    <row r="70" spans="1:28" ht="14.25" customHeight="1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</row>
    <row r="71" spans="1:28" ht="14.25" customHeight="1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</row>
    <row r="72" spans="1:28" ht="14.25" customHeight="1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</row>
    <row r="73" spans="1:28" ht="14.25" customHeight="1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</row>
    <row r="74" spans="1:28" ht="14.25" customHeight="1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</row>
    <row r="75" spans="1:28" ht="14.25" customHeight="1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</row>
    <row r="76" spans="1:28" ht="14.25" customHeight="1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</row>
    <row r="77" spans="1:28" ht="14.25" customHeight="1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</row>
    <row r="78" spans="1:28" ht="14.25" customHeight="1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</row>
    <row r="79" spans="1:28" ht="14.25" customHeight="1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</row>
    <row r="80" spans="1:28" ht="14.25" customHeight="1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</row>
    <row r="81" spans="1:28" ht="14.25" customHeight="1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</row>
    <row r="82" spans="1:28" ht="14.25" customHeight="1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</row>
    <row r="83" spans="1:28" ht="14.25" customHeight="1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</row>
    <row r="84" spans="1:28" ht="14.25" customHeight="1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</row>
    <row r="85" spans="1:28" ht="14.25" customHeight="1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</row>
    <row r="86" spans="1:28" ht="14.25" customHeight="1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</row>
    <row r="87" spans="1:28" ht="14.25" customHeight="1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</row>
    <row r="88" spans="1:28" ht="14.25" customHeight="1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</row>
    <row r="89" spans="1:28" ht="14.25" customHeight="1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</row>
    <row r="90" spans="1:28" ht="14.25" customHeight="1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</row>
    <row r="91" spans="1:28" ht="14.25" customHeight="1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</row>
    <row r="92" spans="1:28" ht="14.25" customHeight="1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</row>
    <row r="93" spans="1:28" ht="14.25" customHeight="1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</row>
    <row r="94" spans="1:28" ht="14.25" customHeight="1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</row>
    <row r="95" spans="1:28" ht="14.25" customHeight="1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</row>
    <row r="96" spans="1:28" ht="14.25" customHeight="1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</row>
    <row r="97" spans="1:28" ht="14.25" customHeight="1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</row>
    <row r="98" spans="1:28" ht="14.25" customHeight="1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</row>
    <row r="99" spans="1:28" ht="14.25" customHeight="1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</row>
    <row r="100" spans="1:28" ht="14.25" customHeight="1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</row>
    <row r="101" spans="1:28" ht="14.25" customHeight="1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</row>
    <row r="102" spans="1:28" ht="14.25" customHeight="1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</row>
    <row r="103" spans="1:28" ht="14.25" customHeight="1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</row>
    <row r="104" spans="1:28" ht="14.25" customHeight="1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</row>
    <row r="105" spans="1:28" ht="14.25" customHeight="1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</row>
    <row r="106" spans="1:28" ht="14.25" customHeight="1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</row>
    <row r="107" spans="1:28" ht="14.25" customHeight="1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</row>
    <row r="108" spans="1:28" ht="14.25" customHeight="1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</row>
    <row r="109" spans="1:28" ht="14.25" customHeight="1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</row>
    <row r="110" spans="1:28" ht="14.25" customHeight="1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</row>
    <row r="111" spans="1:28" ht="14.25" customHeight="1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</row>
    <row r="112" spans="1:28" ht="14.25" customHeight="1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</row>
    <row r="113" spans="1:28" ht="14.25" customHeight="1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</row>
    <row r="114" spans="1:28" ht="14.25" customHeight="1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</row>
    <row r="115" spans="1:28" ht="14.25" customHeight="1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</row>
    <row r="116" spans="1:28" ht="14.25" customHeight="1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</row>
    <row r="117" spans="1:28" ht="14.25" customHeight="1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</row>
    <row r="118" spans="1:28" ht="14.25" customHeight="1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</row>
    <row r="119" spans="1:28" ht="14.25" customHeight="1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</row>
    <row r="120" spans="1:28" ht="14.25" customHeight="1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</row>
    <row r="121" spans="1:28" ht="14.25" customHeight="1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</row>
    <row r="122" spans="1:28" ht="14.25" customHeight="1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</row>
    <row r="123" spans="1:28" ht="14.25" customHeight="1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</row>
    <row r="124" spans="1:28" ht="14.25" customHeight="1">
      <c r="A124" s="169"/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</row>
    <row r="125" spans="1:28" ht="14.25" customHeight="1">
      <c r="A125" s="169"/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</row>
    <row r="126" spans="1:28" ht="14.25" customHeight="1">
      <c r="A126" s="169"/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</row>
    <row r="127" spans="1:28" ht="14.25" customHeight="1">
      <c r="A127" s="169"/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</row>
    <row r="128" spans="1:28" ht="14.25" customHeight="1">
      <c r="A128" s="169"/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</row>
    <row r="129" spans="1:28" ht="14.25" customHeight="1">
      <c r="A129" s="169"/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</row>
    <row r="130" spans="1:28" ht="14.25" customHeight="1">
      <c r="A130" s="169"/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</row>
    <row r="131" spans="1:28" ht="14.25" customHeight="1">
      <c r="A131" s="169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</row>
    <row r="132" spans="1:28" ht="14.25" customHeight="1">
      <c r="A132" s="169"/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</row>
    <row r="133" spans="1:28" ht="14.25" customHeight="1">
      <c r="A133" s="169"/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</row>
    <row r="134" spans="1:28" ht="14.25" customHeight="1">
      <c r="A134" s="169"/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</row>
    <row r="135" spans="1:28" ht="14.25" customHeight="1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</row>
    <row r="136" spans="1:28" ht="14.25" customHeight="1">
      <c r="A136" s="169"/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</row>
    <row r="137" spans="1:28" ht="14.25" customHeight="1">
      <c r="A137" s="169"/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</row>
    <row r="138" spans="1:28" ht="14.25" customHeight="1">
      <c r="A138" s="169"/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</row>
    <row r="139" spans="1:28" ht="14.25" customHeight="1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</row>
    <row r="140" spans="1:28" ht="14.25" customHeight="1">
      <c r="A140" s="169"/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</row>
    <row r="141" spans="1:28" ht="14.25" customHeight="1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</row>
    <row r="142" spans="1:28" ht="14.25" customHeight="1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</row>
    <row r="143" spans="1:28" ht="14.25" customHeight="1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</row>
    <row r="144" spans="1:28" ht="14.25" customHeight="1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</row>
    <row r="145" spans="1:28" ht="14.25" customHeight="1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</row>
    <row r="146" spans="1:28" ht="14.25" customHeight="1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</row>
    <row r="147" spans="1:28" ht="14.25" customHeight="1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</row>
    <row r="148" spans="1:28" ht="14.25" customHeight="1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</row>
    <row r="149" spans="1:28" ht="14.25" customHeight="1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</row>
    <row r="150" spans="1:28" ht="14.25" customHeight="1">
      <c r="A150" s="169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</row>
    <row r="151" spans="1:28" ht="14.25" customHeight="1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</row>
    <row r="152" spans="1:28" ht="14.25" customHeight="1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</row>
    <row r="153" spans="1:28" ht="14.25" customHeight="1">
      <c r="A153" s="169"/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</row>
    <row r="154" spans="1:28" ht="14.25" customHeight="1">
      <c r="A154" s="169"/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</row>
    <row r="155" spans="1:28" ht="14.25" customHeight="1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</row>
    <row r="156" spans="1:28" ht="14.25" customHeight="1">
      <c r="A156" s="169"/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</row>
    <row r="157" spans="1:28" ht="14.25" customHeight="1">
      <c r="A157" s="169"/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</row>
    <row r="158" spans="1:28" ht="14.25" customHeight="1">
      <c r="A158" s="169"/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</row>
    <row r="159" spans="1:28" ht="14.25" customHeight="1">
      <c r="A159" s="169"/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</row>
    <row r="160" spans="1:28" ht="14.25" customHeight="1">
      <c r="A160" s="169"/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</row>
    <row r="161" spans="1:28" ht="14.25" customHeight="1">
      <c r="A161" s="169"/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</row>
    <row r="162" spans="1:28" ht="14.25" customHeight="1">
      <c r="A162" s="169"/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</row>
    <row r="163" spans="1:28" ht="14.25" customHeight="1">
      <c r="A163" s="169"/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</row>
    <row r="164" spans="1:28" ht="14.25" customHeight="1">
      <c r="A164" s="169"/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</row>
    <row r="165" spans="1:28" ht="14.25" customHeight="1">
      <c r="A165" s="169"/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</row>
    <row r="166" spans="1:28" ht="14.25" customHeight="1">
      <c r="A166" s="169"/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</row>
    <row r="167" spans="1:28" ht="14.25" customHeight="1">
      <c r="A167" s="169"/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</row>
    <row r="168" spans="1:28" ht="14.25" customHeight="1">
      <c r="A168" s="169"/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</row>
    <row r="169" spans="1:28" ht="14.25" customHeight="1">
      <c r="A169" s="169"/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</row>
    <row r="170" spans="1:28" ht="14.25" customHeight="1">
      <c r="A170" s="169"/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</row>
    <row r="171" spans="1:28" ht="14.25" customHeight="1">
      <c r="A171" s="169"/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</row>
    <row r="172" spans="1:28" ht="14.25" customHeight="1">
      <c r="A172" s="169"/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</row>
    <row r="173" spans="1:28" ht="14.25" customHeight="1">
      <c r="A173" s="169"/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</row>
    <row r="174" spans="1:28" ht="14.25" customHeight="1">
      <c r="A174" s="169"/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</row>
    <row r="175" spans="1:28" ht="14.25" customHeight="1">
      <c r="A175" s="169"/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</row>
    <row r="176" spans="1:28" ht="14.25" customHeight="1">
      <c r="A176" s="169"/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</row>
    <row r="177" spans="1:28" ht="14.25" customHeight="1">
      <c r="A177" s="169"/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</row>
    <row r="178" spans="1:28" ht="14.25" customHeight="1">
      <c r="A178" s="169"/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</row>
    <row r="179" spans="1:28" ht="14.25" customHeight="1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</row>
    <row r="180" spans="1:28" ht="14.25" customHeight="1">
      <c r="A180" s="169"/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</row>
    <row r="181" spans="1:28" ht="14.25" customHeight="1">
      <c r="A181" s="169"/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</row>
    <row r="182" spans="1:28" ht="14.25" customHeight="1">
      <c r="A182" s="169"/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</row>
    <row r="183" spans="1:28" ht="14.25" customHeight="1">
      <c r="A183" s="169"/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</row>
    <row r="184" spans="1:28" ht="14.25" customHeight="1">
      <c r="A184" s="169"/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</row>
    <row r="185" spans="1:28" ht="14.25" customHeight="1">
      <c r="A185" s="169"/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</row>
    <row r="186" spans="1:28" ht="14.25" customHeight="1">
      <c r="A186" s="169"/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</row>
    <row r="187" spans="1:28" ht="14.25" customHeight="1">
      <c r="A187" s="169"/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</row>
    <row r="188" spans="1:28" ht="14.25" customHeight="1">
      <c r="A188" s="169"/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</row>
    <row r="189" spans="1:28" ht="14.25" customHeight="1">
      <c r="A189" s="169"/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</row>
    <row r="190" spans="1:28" ht="14.25" customHeight="1">
      <c r="A190" s="169"/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</row>
    <row r="191" spans="1:28" ht="14.25" customHeight="1">
      <c r="A191" s="169"/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</row>
    <row r="192" spans="1:28" ht="14.25" customHeight="1">
      <c r="A192" s="169"/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</row>
    <row r="193" spans="1:28" ht="14.25" customHeight="1">
      <c r="A193" s="169"/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</row>
    <row r="194" spans="1:28" ht="14.25" customHeight="1">
      <c r="A194" s="169"/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</row>
    <row r="195" spans="1:28" ht="14.25" customHeight="1">
      <c r="A195" s="169"/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</row>
    <row r="196" spans="1:28" ht="14.25" customHeight="1">
      <c r="A196" s="169"/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</row>
    <row r="197" spans="1:28" ht="14.25" customHeight="1">
      <c r="A197" s="169"/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</row>
    <row r="198" spans="1:28" ht="14.25" customHeight="1">
      <c r="A198" s="169"/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</row>
    <row r="199" spans="1:28" ht="14.25" customHeight="1">
      <c r="A199" s="169"/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</row>
    <row r="200" spans="1:28" ht="14.25" customHeight="1">
      <c r="A200" s="169"/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</row>
    <row r="201" spans="1:28" ht="14.25" customHeight="1">
      <c r="A201" s="169"/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</row>
    <row r="202" spans="1:28" ht="14.25" customHeight="1">
      <c r="A202" s="169"/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</row>
    <row r="203" spans="1:28" ht="14.25" customHeight="1">
      <c r="A203" s="169"/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</row>
    <row r="204" spans="1:28" ht="14.25" customHeight="1">
      <c r="A204" s="169"/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</row>
    <row r="205" spans="1:28" ht="14.25" customHeight="1">
      <c r="A205" s="169"/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</row>
    <row r="206" spans="1:28" ht="14.25" customHeight="1">
      <c r="A206" s="169"/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</row>
    <row r="207" spans="1:28" ht="14.25" customHeight="1">
      <c r="A207" s="169"/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</row>
    <row r="208" spans="1:28" ht="14.25" customHeight="1">
      <c r="A208" s="169"/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</row>
    <row r="209" spans="1:28" ht="14.25" customHeight="1">
      <c r="A209" s="169"/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</row>
    <row r="210" spans="1:28" ht="14.25" customHeight="1">
      <c r="A210" s="169"/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</row>
    <row r="211" spans="1:28" ht="14.25" customHeight="1">
      <c r="A211" s="169"/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</row>
    <row r="212" spans="1:28" ht="14.25" customHeight="1">
      <c r="A212" s="169"/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</row>
    <row r="213" spans="1:28" ht="14.25" customHeight="1">
      <c r="A213" s="169"/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</row>
    <row r="214" spans="1:28" ht="14.25" customHeight="1">
      <c r="A214" s="169"/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</row>
    <row r="215" spans="1:28" ht="14.25" customHeight="1">
      <c r="A215" s="169"/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</row>
    <row r="216" spans="1:28" ht="14.25" customHeight="1">
      <c r="A216" s="169"/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</row>
    <row r="217" spans="1:28" ht="14.25" customHeight="1">
      <c r="A217" s="169"/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</row>
    <row r="218" spans="1:28" ht="14.25" customHeight="1">
      <c r="A218" s="169"/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</row>
    <row r="219" spans="1:28" ht="14.25" customHeight="1">
      <c r="A219" s="169"/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</row>
    <row r="220" spans="1:28" ht="14.25" customHeight="1">
      <c r="A220" s="169"/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</row>
    <row r="221" spans="1:28" ht="14.25" customHeight="1">
      <c r="A221" s="169"/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</row>
    <row r="222" spans="1:28" ht="14.25" customHeight="1">
      <c r="A222" s="169"/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</row>
    <row r="223" spans="1:28" ht="14.25" customHeight="1">
      <c r="A223" s="169"/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</row>
    <row r="224" spans="1:28" ht="14.25" customHeight="1">
      <c r="A224" s="169"/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</row>
    <row r="225" spans="1:28" ht="14.25" customHeight="1">
      <c r="A225" s="169"/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</row>
    <row r="226" spans="1:28" ht="14.25" customHeight="1"/>
    <row r="227" spans="1:28" ht="14.25" customHeight="1"/>
    <row r="228" spans="1:28" ht="14.25" customHeight="1"/>
    <row r="229" spans="1:28" ht="14.25" customHeight="1"/>
    <row r="230" spans="1:28" ht="14.25" customHeight="1"/>
    <row r="231" spans="1:28" ht="14.25" customHeight="1"/>
    <row r="232" spans="1:28" ht="14.25" customHeight="1"/>
    <row r="233" spans="1:28" ht="14.25" customHeight="1"/>
    <row r="234" spans="1:28" ht="14.25" customHeight="1"/>
    <row r="235" spans="1:28" ht="14.25" customHeight="1"/>
    <row r="236" spans="1:28" ht="14.25" customHeight="1"/>
    <row r="237" spans="1:28" ht="14.25" customHeight="1"/>
    <row r="238" spans="1:28" ht="14.25" customHeight="1"/>
    <row r="239" spans="1:28" ht="14.25" customHeight="1"/>
    <row r="240" spans="1:28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workbookViewId="0">
      <selection sqref="A1:F1"/>
    </sheetView>
  </sheetViews>
  <sheetFormatPr defaultColWidth="12.625" defaultRowHeight="15" customHeight="1"/>
  <cols>
    <col min="1" max="1" width="12.25" customWidth="1"/>
    <col min="2" max="4" width="9.5" customWidth="1"/>
    <col min="5" max="5" width="11.5" customWidth="1"/>
    <col min="6" max="26" width="9.5" customWidth="1"/>
  </cols>
  <sheetData>
    <row r="1" spans="1:6" ht="14.25" customHeight="1">
      <c r="A1" s="238" t="s">
        <v>199</v>
      </c>
      <c r="B1" s="239"/>
      <c r="C1" s="239"/>
      <c r="D1" s="239"/>
      <c r="E1" s="239"/>
      <c r="F1" s="239"/>
    </row>
    <row r="2" spans="1:6" ht="14.25" customHeight="1">
      <c r="A2" s="46" t="s">
        <v>200</v>
      </c>
      <c r="B2" s="46" t="s">
        <v>201</v>
      </c>
      <c r="C2" s="46" t="s">
        <v>202</v>
      </c>
      <c r="D2" s="46" t="s">
        <v>203</v>
      </c>
      <c r="E2" s="46" t="s">
        <v>204</v>
      </c>
      <c r="F2" s="46">
        <v>2026</v>
      </c>
    </row>
    <row r="3" spans="1:6" ht="14.25" customHeight="1">
      <c r="A3" s="46" t="s">
        <v>205</v>
      </c>
      <c r="B3" s="46">
        <v>806</v>
      </c>
      <c r="C3" s="46">
        <v>629</v>
      </c>
      <c r="D3" s="46">
        <v>228</v>
      </c>
      <c r="E3" s="46">
        <v>363</v>
      </c>
    </row>
    <row r="4" spans="1:6" ht="14.25" customHeight="1">
      <c r="A4" s="46" t="s">
        <v>206</v>
      </c>
      <c r="B4" s="46">
        <v>613</v>
      </c>
      <c r="C4" s="46">
        <v>517</v>
      </c>
      <c r="D4" s="46">
        <v>200</v>
      </c>
      <c r="E4" s="46">
        <v>316</v>
      </c>
    </row>
    <row r="5" spans="1:6" ht="14.25" customHeight="1">
      <c r="A5" s="46" t="s">
        <v>207</v>
      </c>
      <c r="B5" s="46">
        <v>376</v>
      </c>
      <c r="C5" s="46">
        <v>609</v>
      </c>
      <c r="D5" s="46">
        <v>149</v>
      </c>
      <c r="E5" s="46">
        <v>294</v>
      </c>
    </row>
    <row r="6" spans="1:6" ht="14.25" customHeight="1">
      <c r="A6" s="46" t="s">
        <v>208</v>
      </c>
      <c r="B6" s="46">
        <v>403</v>
      </c>
      <c r="C6" s="46">
        <v>565</v>
      </c>
      <c r="D6" s="46">
        <v>92</v>
      </c>
      <c r="E6" s="46">
        <v>67</v>
      </c>
    </row>
    <row r="7" spans="1:6" ht="14.25" customHeight="1">
      <c r="A7" s="46" t="s">
        <v>209</v>
      </c>
      <c r="B7" s="46">
        <v>405</v>
      </c>
      <c r="C7" s="46">
        <v>56</v>
      </c>
      <c r="D7" s="46">
        <v>60</v>
      </c>
      <c r="E7" s="46">
        <v>55</v>
      </c>
    </row>
    <row r="8" spans="1:6" ht="14.25" customHeight="1">
      <c r="A8" s="46" t="s">
        <v>210</v>
      </c>
      <c r="B8" s="46">
        <v>388</v>
      </c>
      <c r="C8" s="46">
        <v>45</v>
      </c>
      <c r="D8" s="46">
        <v>48</v>
      </c>
      <c r="E8" s="46">
        <v>45</v>
      </c>
    </row>
    <row r="9" spans="1:6" ht="14.25" customHeight="1">
      <c r="A9" s="46" t="s">
        <v>211</v>
      </c>
      <c r="B9" s="46">
        <v>399</v>
      </c>
      <c r="C9" s="46">
        <v>48</v>
      </c>
      <c r="D9" s="46">
        <v>51</v>
      </c>
      <c r="E9" s="46">
        <v>84</v>
      </c>
    </row>
    <row r="10" spans="1:6" ht="14.25" customHeight="1">
      <c r="A10" s="46" t="s">
        <v>212</v>
      </c>
      <c r="B10" s="46">
        <v>413</v>
      </c>
      <c r="C10" s="46">
        <v>61</v>
      </c>
      <c r="D10" s="46">
        <v>64</v>
      </c>
      <c r="E10" s="46">
        <v>48</v>
      </c>
    </row>
    <row r="11" spans="1:6" ht="14.25" customHeight="1">
      <c r="A11" s="46" t="s">
        <v>213</v>
      </c>
      <c r="B11" s="46">
        <v>409</v>
      </c>
      <c r="C11" s="46">
        <v>75</v>
      </c>
      <c r="D11" s="46">
        <v>75</v>
      </c>
      <c r="E11" s="46">
        <v>161</v>
      </c>
    </row>
    <row r="12" spans="1:6" ht="14.25" customHeight="1">
      <c r="A12" s="46" t="s">
        <v>214</v>
      </c>
      <c r="B12" s="46">
        <v>440</v>
      </c>
      <c r="C12" s="46">
        <v>91</v>
      </c>
      <c r="D12" s="46">
        <v>93</v>
      </c>
      <c r="E12" s="46">
        <v>225</v>
      </c>
    </row>
    <row r="13" spans="1:6" ht="14.25" customHeight="1">
      <c r="A13" s="46" t="s">
        <v>215</v>
      </c>
      <c r="B13" s="46">
        <v>514</v>
      </c>
      <c r="C13" s="46">
        <v>413</v>
      </c>
      <c r="D13" s="46">
        <v>263</v>
      </c>
      <c r="E13" s="46">
        <v>115</v>
      </c>
    </row>
    <row r="14" spans="1:6" ht="14.25" customHeight="1">
      <c r="A14" s="157" t="s">
        <v>216</v>
      </c>
      <c r="B14" s="157">
        <v>574</v>
      </c>
      <c r="C14" s="157">
        <v>241</v>
      </c>
      <c r="D14" s="157">
        <v>367</v>
      </c>
      <c r="E14" s="157">
        <v>313</v>
      </c>
      <c r="F14" s="157"/>
    </row>
    <row r="15" spans="1:6" ht="14.25" customHeight="1">
      <c r="A15" s="46" t="s">
        <v>217</v>
      </c>
      <c r="B15" s="46">
        <v>376</v>
      </c>
      <c r="C15" s="46">
        <v>45</v>
      </c>
      <c r="D15" s="46">
        <v>48</v>
      </c>
      <c r="E15" s="46">
        <v>45</v>
      </c>
    </row>
    <row r="16" spans="1:6" ht="14.25" customHeight="1">
      <c r="A16" s="46" t="s">
        <v>217</v>
      </c>
      <c r="B16" s="46">
        <v>806</v>
      </c>
      <c r="C16" s="46">
        <v>629</v>
      </c>
      <c r="D16" s="46">
        <v>228</v>
      </c>
      <c r="E16" s="46">
        <v>363</v>
      </c>
    </row>
    <row r="17" spans="1:6" ht="14.25" customHeight="1">
      <c r="A17" s="46" t="s">
        <v>218</v>
      </c>
      <c r="B17" s="46">
        <v>478</v>
      </c>
      <c r="C17" s="46">
        <v>279</v>
      </c>
      <c r="D17" s="46">
        <v>104</v>
      </c>
      <c r="E17" s="46">
        <v>175</v>
      </c>
    </row>
    <row r="18" spans="1:6" ht="14.25" customHeight="1">
      <c r="A18" s="134" t="s">
        <v>219</v>
      </c>
      <c r="B18" s="134">
        <v>5740</v>
      </c>
      <c r="C18" s="134">
        <v>3350</v>
      </c>
      <c r="D18" s="134">
        <v>1690</v>
      </c>
      <c r="E18" s="134">
        <v>2099</v>
      </c>
    </row>
    <row r="19" spans="1:6" ht="14.25" customHeight="1"/>
    <row r="20" spans="1:6" ht="14.25" customHeight="1">
      <c r="A20" s="46" t="s">
        <v>220</v>
      </c>
      <c r="D20" s="46">
        <f>360+1200</f>
        <v>1560</v>
      </c>
    </row>
    <row r="21" spans="1:6" ht="14.25" customHeight="1">
      <c r="A21" s="46" t="s">
        <v>221</v>
      </c>
      <c r="D21" s="46">
        <v>2153</v>
      </c>
      <c r="E21" s="46" t="s">
        <v>222</v>
      </c>
    </row>
    <row r="22" spans="1:6" ht="14.25" customHeight="1">
      <c r="A22" s="46" t="s">
        <v>223</v>
      </c>
      <c r="B22" s="46" t="s">
        <v>224</v>
      </c>
      <c r="D22" s="46" t="s">
        <v>225</v>
      </c>
    </row>
    <row r="23" spans="1:6" ht="14.25" customHeight="1">
      <c r="C23" s="46" t="s">
        <v>226</v>
      </c>
      <c r="E23" s="145">
        <f>(D21*1)+D20</f>
        <v>3713</v>
      </c>
    </row>
    <row r="24" spans="1:6" ht="14.25" customHeight="1"/>
    <row r="25" spans="1:6" ht="14.25" customHeight="1">
      <c r="A25" s="189" t="s">
        <v>227</v>
      </c>
      <c r="B25" s="190"/>
      <c r="C25" s="190"/>
      <c r="D25" s="190" t="s">
        <v>228</v>
      </c>
      <c r="E25" s="190" t="s">
        <v>229</v>
      </c>
      <c r="F25" s="190" t="s">
        <v>230</v>
      </c>
    </row>
    <row r="26" spans="1:6" ht="14.25" customHeight="1">
      <c r="A26" s="159" t="s">
        <v>231</v>
      </c>
      <c r="B26" s="191"/>
      <c r="C26" s="191"/>
      <c r="D26" s="191">
        <v>894</v>
      </c>
      <c r="E26" s="191">
        <v>1014</v>
      </c>
      <c r="F26" s="192"/>
    </row>
    <row r="27" spans="1:6" ht="14.25" customHeight="1"/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F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00"/>
  <sheetViews>
    <sheetView workbookViewId="0"/>
  </sheetViews>
  <sheetFormatPr defaultColWidth="12.625" defaultRowHeight="15" customHeight="1"/>
  <cols>
    <col min="1" max="1" width="16.625" customWidth="1"/>
    <col min="2" max="2" width="9.5" customWidth="1"/>
    <col min="3" max="3" width="9.125" customWidth="1"/>
    <col min="4" max="4" width="8.25" customWidth="1"/>
    <col min="5" max="5" width="8.625" customWidth="1"/>
    <col min="6" max="6" width="12.5" customWidth="1"/>
    <col min="7" max="9" width="8.625" customWidth="1"/>
    <col min="10" max="10" width="22.375" customWidth="1"/>
    <col min="11" max="11" width="8.625" customWidth="1"/>
    <col min="12" max="12" width="19.5" customWidth="1"/>
    <col min="13" max="15" width="8.625" customWidth="1"/>
    <col min="16" max="16" width="23.625" customWidth="1"/>
    <col min="17" max="17" width="8.625" customWidth="1"/>
    <col min="18" max="18" width="11.125" customWidth="1"/>
    <col min="19" max="26" width="8.625" customWidth="1"/>
  </cols>
  <sheetData>
    <row r="1" spans="1:18" ht="14.25" customHeight="1">
      <c r="B1" s="193"/>
      <c r="P1" s="133" t="s">
        <v>232</v>
      </c>
    </row>
    <row r="2" spans="1:18" ht="14.25" customHeight="1">
      <c r="A2" s="194" t="s">
        <v>233</v>
      </c>
      <c r="C2" s="99" t="s">
        <v>234</v>
      </c>
      <c r="F2" s="99" t="s">
        <v>235</v>
      </c>
      <c r="J2" s="195" t="s">
        <v>236</v>
      </c>
      <c r="K2" s="196"/>
      <c r="L2" s="197" t="s">
        <v>237</v>
      </c>
      <c r="M2" s="196"/>
      <c r="N2" s="198"/>
      <c r="P2" s="199" t="s">
        <v>98</v>
      </c>
      <c r="Q2" s="200"/>
      <c r="R2" s="201"/>
    </row>
    <row r="3" spans="1:18" ht="19.5" customHeight="1">
      <c r="B3" s="46" t="s">
        <v>238</v>
      </c>
      <c r="C3" s="46">
        <v>9</v>
      </c>
      <c r="D3" s="145">
        <v>1200</v>
      </c>
      <c r="E3" s="145">
        <f t="shared" ref="E3:E5" si="0">C3*D3</f>
        <v>10800</v>
      </c>
      <c r="F3" s="145"/>
      <c r="J3" s="202" t="s">
        <v>239</v>
      </c>
      <c r="L3" s="203" t="s">
        <v>240</v>
      </c>
      <c r="M3" s="46" t="s">
        <v>241</v>
      </c>
      <c r="N3" s="204"/>
      <c r="P3" s="205" t="s">
        <v>242</v>
      </c>
      <c r="Q3" s="206"/>
      <c r="R3" s="206" t="s">
        <v>243</v>
      </c>
    </row>
    <row r="4" spans="1:18" ht="29.25" customHeight="1">
      <c r="A4" s="190" t="s">
        <v>244</v>
      </c>
      <c r="B4" s="46" t="s">
        <v>245</v>
      </c>
      <c r="C4" s="46">
        <v>1</v>
      </c>
      <c r="D4" s="145">
        <v>0</v>
      </c>
      <c r="E4" s="145">
        <f t="shared" si="0"/>
        <v>0</v>
      </c>
      <c r="F4" s="145"/>
      <c r="J4" s="207"/>
      <c r="L4" s="208" t="s">
        <v>246</v>
      </c>
      <c r="M4" s="208" t="s">
        <v>247</v>
      </c>
      <c r="N4" s="209" t="s">
        <v>248</v>
      </c>
      <c r="P4" s="210" t="s">
        <v>249</v>
      </c>
      <c r="Q4" s="201"/>
      <c r="R4" s="211"/>
    </row>
    <row r="5" spans="1:18" ht="18" customHeight="1">
      <c r="A5" s="190" t="s">
        <v>250</v>
      </c>
      <c r="B5" s="46" t="s">
        <v>245</v>
      </c>
      <c r="C5" s="46">
        <v>1</v>
      </c>
      <c r="D5" s="145">
        <v>10800</v>
      </c>
      <c r="E5" s="145">
        <f t="shared" si="0"/>
        <v>10800</v>
      </c>
      <c r="F5" s="212" t="s">
        <v>251</v>
      </c>
      <c r="J5" s="202" t="s">
        <v>252</v>
      </c>
      <c r="L5" s="46" t="s">
        <v>253</v>
      </c>
      <c r="M5" s="213"/>
      <c r="N5" s="214">
        <v>12.33</v>
      </c>
      <c r="P5" s="215" t="s">
        <v>254</v>
      </c>
      <c r="Q5" s="201"/>
      <c r="R5" s="216">
        <v>30</v>
      </c>
    </row>
    <row r="6" spans="1:18" ht="21.75" customHeight="1">
      <c r="A6" s="190" t="s">
        <v>250</v>
      </c>
      <c r="B6" s="46" t="s">
        <v>245</v>
      </c>
      <c r="D6" s="145">
        <v>4800</v>
      </c>
      <c r="E6" s="145"/>
      <c r="F6" s="46" t="s">
        <v>255</v>
      </c>
      <c r="G6" s="217"/>
      <c r="J6" s="202" t="s">
        <v>256</v>
      </c>
      <c r="L6" s="213" t="s">
        <v>257</v>
      </c>
      <c r="M6" s="213"/>
      <c r="N6" s="214">
        <v>15.02</v>
      </c>
      <c r="P6" s="215" t="s">
        <v>258</v>
      </c>
      <c r="Q6" s="201"/>
      <c r="R6" s="216">
        <v>15</v>
      </c>
    </row>
    <row r="7" spans="1:18" ht="14.25" hidden="1" customHeight="1">
      <c r="D7" s="145"/>
      <c r="E7" s="145"/>
      <c r="F7" s="212"/>
      <c r="G7" s="103"/>
      <c r="J7" s="218"/>
      <c r="L7" s="213" t="s">
        <v>219</v>
      </c>
      <c r="M7" s="219">
        <v>15.24</v>
      </c>
      <c r="N7" s="220">
        <v>19.05</v>
      </c>
      <c r="P7" s="215" t="s">
        <v>259</v>
      </c>
      <c r="Q7" s="201"/>
      <c r="R7" s="216">
        <v>50</v>
      </c>
    </row>
    <row r="8" spans="1:18" ht="14.25" hidden="1" customHeight="1">
      <c r="A8" s="99" t="s">
        <v>260</v>
      </c>
      <c r="B8" s="99" t="s">
        <v>261</v>
      </c>
      <c r="C8" s="99"/>
      <c r="E8" s="145"/>
      <c r="F8" s="212"/>
      <c r="G8" s="103"/>
      <c r="J8" s="218"/>
      <c r="N8" s="204"/>
      <c r="P8" s="210" t="s">
        <v>262</v>
      </c>
      <c r="Q8" s="201"/>
      <c r="R8" s="216"/>
    </row>
    <row r="9" spans="1:18" ht="14.25" hidden="1" customHeight="1">
      <c r="A9" s="99" t="s">
        <v>263</v>
      </c>
      <c r="C9" s="46">
        <v>1</v>
      </c>
      <c r="D9" s="221">
        <v>1140</v>
      </c>
      <c r="E9" s="145"/>
      <c r="F9" s="212"/>
      <c r="G9" s="103"/>
      <c r="I9" s="222">
        <v>2024</v>
      </c>
      <c r="J9" s="218"/>
      <c r="N9" s="204"/>
      <c r="P9" s="215" t="s">
        <v>264</v>
      </c>
      <c r="Q9" s="201"/>
      <c r="R9" s="216">
        <v>45</v>
      </c>
    </row>
    <row r="10" spans="1:18" ht="14.25" hidden="1" customHeight="1">
      <c r="A10" s="99"/>
      <c r="C10" s="46">
        <v>1</v>
      </c>
      <c r="D10" s="221">
        <v>310</v>
      </c>
      <c r="E10" s="145"/>
      <c r="F10" s="212"/>
      <c r="G10" s="103"/>
      <c r="J10" s="218"/>
      <c r="N10" s="204"/>
      <c r="P10" s="215" t="s">
        <v>265</v>
      </c>
      <c r="Q10" s="201"/>
      <c r="R10" s="216">
        <v>20</v>
      </c>
    </row>
    <row r="11" spans="1:18" ht="14.25" customHeight="1">
      <c r="A11" s="99" t="s">
        <v>266</v>
      </c>
      <c r="C11" s="46" t="s">
        <v>267</v>
      </c>
      <c r="D11" s="145"/>
      <c r="E11" s="145"/>
      <c r="F11" s="212">
        <f>SUM(E3:E5)</f>
        <v>21600</v>
      </c>
      <c r="G11" s="103"/>
      <c r="J11" s="223"/>
      <c r="K11" s="224"/>
      <c r="L11" s="224" t="s">
        <v>219</v>
      </c>
      <c r="M11" s="225"/>
      <c r="N11" s="226">
        <f>SUM(N5:N6)</f>
        <v>27.35</v>
      </c>
      <c r="P11" s="215" t="s">
        <v>268</v>
      </c>
      <c r="Q11" s="201"/>
      <c r="R11" s="216" t="s">
        <v>269</v>
      </c>
    </row>
    <row r="12" spans="1:18" ht="14.25" customHeight="1">
      <c r="A12" s="99"/>
      <c r="D12" s="145"/>
      <c r="E12" s="145"/>
      <c r="F12" s="212"/>
      <c r="G12" s="217"/>
      <c r="P12" s="210" t="s">
        <v>270</v>
      </c>
      <c r="Q12" s="201"/>
      <c r="R12" s="216"/>
    </row>
    <row r="13" spans="1:18" ht="14.25" customHeight="1">
      <c r="A13" s="103" t="s">
        <v>260</v>
      </c>
      <c r="B13" s="99" t="s">
        <v>271</v>
      </c>
      <c r="C13" s="222">
        <v>1014</v>
      </c>
      <c r="D13" s="147">
        <f>12.33+15.02</f>
        <v>27.35</v>
      </c>
      <c r="E13" s="145">
        <f t="shared" ref="E13:E14" si="1">D13*C13</f>
        <v>27732.9</v>
      </c>
      <c r="F13" s="212"/>
      <c r="G13" s="103"/>
      <c r="J13" s="46" t="s">
        <v>272</v>
      </c>
      <c r="P13" s="215" t="s">
        <v>273</v>
      </c>
      <c r="Q13" s="201"/>
      <c r="R13" s="216">
        <v>5</v>
      </c>
    </row>
    <row r="14" spans="1:18" ht="14.25" customHeight="1">
      <c r="A14" s="227" t="s">
        <v>274</v>
      </c>
      <c r="B14" s="99" t="s">
        <v>275</v>
      </c>
      <c r="C14" s="46">
        <v>1</v>
      </c>
      <c r="D14" s="145">
        <v>8770</v>
      </c>
      <c r="E14" s="145">
        <f t="shared" si="1"/>
        <v>8770</v>
      </c>
      <c r="F14" s="212"/>
      <c r="G14" s="103"/>
      <c r="J14" s="46" t="s">
        <v>276</v>
      </c>
      <c r="M14" s="46">
        <v>2025</v>
      </c>
      <c r="N14" s="46">
        <v>2026</v>
      </c>
      <c r="P14" s="215" t="s">
        <v>277</v>
      </c>
      <c r="Q14" s="201"/>
      <c r="R14" s="216">
        <v>25</v>
      </c>
    </row>
    <row r="15" spans="1:18" ht="14.25" customHeight="1">
      <c r="D15" s="145"/>
      <c r="E15" s="145"/>
      <c r="F15" s="212">
        <f>SUM(E13:E14)</f>
        <v>36502.9</v>
      </c>
      <c r="G15" s="217"/>
      <c r="J15" s="46" t="s">
        <v>278</v>
      </c>
      <c r="M15" s="145">
        <v>1200</v>
      </c>
      <c r="N15" s="145">
        <v>1200</v>
      </c>
      <c r="P15" s="215" t="s">
        <v>279</v>
      </c>
      <c r="Q15" s="201"/>
      <c r="R15" s="216">
        <v>8</v>
      </c>
    </row>
    <row r="16" spans="1:18" ht="14.25" customHeight="1">
      <c r="K16" s="46">
        <v>9</v>
      </c>
      <c r="L16" s="46" t="s">
        <v>280</v>
      </c>
      <c r="M16" s="145"/>
      <c r="N16" s="145">
        <f>N15*K16</f>
        <v>10800</v>
      </c>
      <c r="P16" s="215" t="s">
        <v>281</v>
      </c>
      <c r="Q16" s="201"/>
      <c r="R16" s="216">
        <v>8</v>
      </c>
    </row>
    <row r="17" spans="10:18" ht="14.25" customHeight="1">
      <c r="J17" s="228" t="s">
        <v>282</v>
      </c>
      <c r="K17" s="196"/>
      <c r="L17" s="198"/>
      <c r="M17" s="145"/>
      <c r="N17" s="145"/>
      <c r="P17" s="215" t="s">
        <v>283</v>
      </c>
      <c r="Q17" s="201"/>
      <c r="R17" s="216">
        <v>2</v>
      </c>
    </row>
    <row r="18" spans="10:18" ht="14.25" customHeight="1">
      <c r="J18" s="218" t="s">
        <v>284</v>
      </c>
      <c r="L18" s="204" t="s">
        <v>285</v>
      </c>
      <c r="M18" s="145">
        <v>2100</v>
      </c>
      <c r="N18" s="145">
        <v>0</v>
      </c>
      <c r="P18" s="215" t="s">
        <v>286</v>
      </c>
      <c r="Q18" s="201"/>
      <c r="R18" s="216">
        <v>10</v>
      </c>
    </row>
    <row r="19" spans="10:18" ht="14.25" customHeight="1">
      <c r="J19" s="218"/>
      <c r="L19" s="204"/>
      <c r="M19" s="145"/>
      <c r="N19" s="145"/>
      <c r="P19" s="215" t="s">
        <v>287</v>
      </c>
      <c r="Q19" s="201"/>
      <c r="R19" s="216">
        <v>4</v>
      </c>
    </row>
    <row r="20" spans="10:18" ht="14.25" customHeight="1">
      <c r="J20" s="218" t="s">
        <v>288</v>
      </c>
      <c r="L20" s="204"/>
      <c r="M20" s="145"/>
      <c r="N20" s="145"/>
      <c r="P20" s="215" t="s">
        <v>289</v>
      </c>
      <c r="Q20" s="201"/>
      <c r="R20" s="216">
        <v>2</v>
      </c>
    </row>
    <row r="21" spans="10:18" ht="14.25" customHeight="1">
      <c r="J21" s="223" t="s">
        <v>290</v>
      </c>
      <c r="K21" s="224"/>
      <c r="L21" s="229" t="s">
        <v>291</v>
      </c>
      <c r="M21" s="145">
        <v>10080</v>
      </c>
      <c r="N21" s="145">
        <v>10800</v>
      </c>
      <c r="P21" s="215" t="s">
        <v>292</v>
      </c>
      <c r="Q21" s="201"/>
      <c r="R21" s="216">
        <v>20</v>
      </c>
    </row>
    <row r="22" spans="10:18" ht="14.25" customHeight="1">
      <c r="M22" s="230"/>
      <c r="N22" s="230"/>
      <c r="O22" s="231"/>
      <c r="P22" s="215" t="s">
        <v>293</v>
      </c>
      <c r="Q22" s="201"/>
      <c r="R22" s="216">
        <v>8</v>
      </c>
    </row>
    <row r="23" spans="10:18" ht="14.25" customHeight="1">
      <c r="M23" s="145">
        <f>M15*K16+M18+M21</f>
        <v>22980</v>
      </c>
      <c r="N23" s="145">
        <f>SUM(N16:N22)</f>
        <v>21600</v>
      </c>
      <c r="P23" s="210" t="s">
        <v>294</v>
      </c>
      <c r="Q23" s="201"/>
      <c r="R23" s="216"/>
    </row>
    <row r="24" spans="10:18" ht="14.25" customHeight="1">
      <c r="P24" s="215" t="s">
        <v>295</v>
      </c>
      <c r="Q24" s="201"/>
      <c r="R24" s="216" t="s">
        <v>296</v>
      </c>
    </row>
    <row r="25" spans="10:18" ht="14.25" customHeight="1">
      <c r="P25" s="215" t="s">
        <v>297</v>
      </c>
      <c r="Q25" s="201"/>
      <c r="R25" s="216" t="s">
        <v>298</v>
      </c>
    </row>
    <row r="26" spans="10:18" ht="14.25" customHeight="1">
      <c r="P26" s="215" t="s">
        <v>299</v>
      </c>
      <c r="Q26" s="201"/>
      <c r="R26" s="216" t="s">
        <v>300</v>
      </c>
    </row>
    <row r="27" spans="10:18" ht="14.25" customHeight="1">
      <c r="P27" s="215" t="s">
        <v>301</v>
      </c>
      <c r="Q27" s="201"/>
      <c r="R27" s="216" t="s">
        <v>302</v>
      </c>
    </row>
    <row r="28" spans="10:18" ht="14.25" customHeight="1">
      <c r="P28" s="215" t="s">
        <v>303</v>
      </c>
      <c r="Q28" s="201"/>
      <c r="R28" s="216">
        <v>10</v>
      </c>
    </row>
    <row r="29" spans="10:18" ht="14.25" customHeight="1">
      <c r="P29" s="210" t="s">
        <v>304</v>
      </c>
      <c r="Q29" s="201"/>
      <c r="R29" s="216"/>
    </row>
    <row r="30" spans="10:18" ht="14.25" customHeight="1">
      <c r="P30" s="215" t="s">
        <v>305</v>
      </c>
      <c r="Q30" s="201"/>
      <c r="R30" s="216">
        <v>25</v>
      </c>
    </row>
    <row r="31" spans="10:18" ht="14.25" customHeight="1">
      <c r="P31" s="215" t="s">
        <v>306</v>
      </c>
      <c r="Q31" s="201"/>
      <c r="R31" s="216" t="s">
        <v>307</v>
      </c>
    </row>
    <row r="32" spans="10:18" ht="14.25" customHeight="1">
      <c r="P32" s="215" t="s">
        <v>308</v>
      </c>
      <c r="Q32" s="201"/>
      <c r="R32" s="216">
        <v>20</v>
      </c>
    </row>
    <row r="33" spans="16:18" ht="14.25" customHeight="1">
      <c r="P33" s="232" t="s">
        <v>309</v>
      </c>
      <c r="Q33" s="233"/>
      <c r="R33" s="234">
        <v>20</v>
      </c>
    </row>
    <row r="34" spans="16:18" ht="14.25" customHeight="1"/>
    <row r="35" spans="16:18" ht="14.25" customHeight="1"/>
    <row r="36" spans="16:18" ht="14.25" customHeight="1"/>
    <row r="37" spans="16:18" ht="14.25" customHeight="1"/>
    <row r="38" spans="16:18" ht="14.25" customHeight="1"/>
    <row r="39" spans="16:18" ht="14.25" customHeight="1"/>
    <row r="40" spans="16:18" ht="14.25" customHeight="1"/>
    <row r="41" spans="16:18" ht="14.25" customHeight="1"/>
    <row r="42" spans="16:18" ht="14.25" customHeight="1"/>
    <row r="43" spans="16:18" ht="14.25" customHeight="1"/>
    <row r="44" spans="16:18" ht="14.25" customHeight="1"/>
    <row r="45" spans="16:18" ht="14.25" customHeight="1"/>
    <row r="46" spans="16:18" ht="14.25" customHeight="1"/>
    <row r="47" spans="16:18" ht="14.25" customHeight="1"/>
    <row r="48" spans="16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00"/>
  <sheetViews>
    <sheetView workbookViewId="0"/>
  </sheetViews>
  <sheetFormatPr defaultColWidth="12.625" defaultRowHeight="15" customHeight="1"/>
  <cols>
    <col min="1" max="1" width="100.75" customWidth="1"/>
    <col min="2" max="2" width="8.625" customWidth="1"/>
    <col min="3" max="3" width="11.375" customWidth="1"/>
    <col min="4" max="4" width="11.5" customWidth="1"/>
    <col min="5" max="26" width="8.625" customWidth="1"/>
  </cols>
  <sheetData>
    <row r="1" spans="1:7" ht="165" customHeight="1">
      <c r="A1" s="235" t="s">
        <v>310</v>
      </c>
      <c r="C1" s="46">
        <v>2026</v>
      </c>
      <c r="D1" s="46" t="s">
        <v>311</v>
      </c>
      <c r="E1" s="46" t="s">
        <v>312</v>
      </c>
      <c r="F1" s="46" t="s">
        <v>311</v>
      </c>
      <c r="G1" s="46" t="s">
        <v>312</v>
      </c>
    </row>
    <row r="2" spans="1:7" ht="14.25" customHeight="1">
      <c r="C2" s="46" t="s">
        <v>313</v>
      </c>
      <c r="D2" s="46" t="s">
        <v>314</v>
      </c>
      <c r="F2" s="46" t="s">
        <v>315</v>
      </c>
    </row>
    <row r="3" spans="1:7" ht="14.25" customHeight="1">
      <c r="A3" s="46" t="s">
        <v>316</v>
      </c>
      <c r="C3" s="46">
        <v>140</v>
      </c>
      <c r="D3" s="236"/>
      <c r="E3" s="236"/>
      <c r="F3" s="145">
        <v>945</v>
      </c>
      <c r="G3" s="145">
        <v>2000</v>
      </c>
    </row>
    <row r="4" spans="1:7" ht="30.75" customHeight="1">
      <c r="A4" s="235" t="s">
        <v>317</v>
      </c>
      <c r="C4" s="46">
        <v>190</v>
      </c>
      <c r="F4" s="237"/>
      <c r="G4" s="237"/>
    </row>
    <row r="5" spans="1:7" ht="14.25" customHeight="1">
      <c r="C5" s="46">
        <v>240</v>
      </c>
      <c r="D5" s="145">
        <v>2100</v>
      </c>
      <c r="E5" s="145">
        <v>4410</v>
      </c>
      <c r="F5" s="237"/>
      <c r="G5" s="237"/>
    </row>
    <row r="6" spans="1:7" ht="14.25" customHeight="1">
      <c r="C6" s="46">
        <v>370</v>
      </c>
      <c r="D6" s="145">
        <v>3000</v>
      </c>
      <c r="E6" s="145">
        <v>6300</v>
      </c>
      <c r="F6" s="237"/>
      <c r="G6" s="237"/>
    </row>
    <row r="7" spans="1:7" ht="14.25" customHeight="1">
      <c r="C7" s="46">
        <v>660</v>
      </c>
      <c r="D7" s="145">
        <v>4800</v>
      </c>
      <c r="E7" s="145">
        <v>10800</v>
      </c>
      <c r="F7" s="237"/>
      <c r="G7" s="237"/>
    </row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Budget</vt:lpstr>
      <vt:lpstr>LUP 2026</vt:lpstr>
      <vt:lpstr>Bokslut 20241231</vt:lpstr>
      <vt:lpstr>Bokslut 20251231</vt:lpstr>
      <vt:lpstr>Moms 2024</vt:lpstr>
      <vt:lpstr>Debiteringslängd</vt:lpstr>
      <vt:lpstr>El &amp; Vatten förbr</vt:lpstr>
      <vt:lpstr>Basuppg</vt:lpstr>
      <vt:lpstr>Återvinning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 Stenhardt</dc:creator>
  <cp:lastModifiedBy>Bo Ståhlsparre</cp:lastModifiedBy>
  <dcterms:created xsi:type="dcterms:W3CDTF">2024-05-24T16:49:43Z</dcterms:created>
  <dcterms:modified xsi:type="dcterms:W3CDTF">2026-01-28T12:56:33Z</dcterms:modified>
</cp:coreProperties>
</file>